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Kimpel\Dropbox (Personal)\financeable\Courses\3SM\2.0\"/>
    </mc:Choice>
  </mc:AlternateContent>
  <xr:revisionPtr revIDLastSave="0" documentId="13_ncr:1_{E5E72747-C58D-4E98-AA72-AB84BB2949EF}" xr6:coauthVersionLast="47" xr6:coauthVersionMax="47" xr10:uidLastSave="{00000000-0000-0000-0000-000000000000}"/>
  <bookViews>
    <workbookView xWindow="-28920" yWindow="-120" windowWidth="29040" windowHeight="15840" xr2:uid="{F863F14E-2B8B-481E-B3AC-9576174B88F8}"/>
  </bookViews>
  <sheets>
    <sheet name="1 - Historical Income Statement" sheetId="17" r:id="rId1"/>
    <sheet name="2 - Revenue &amp; Expense Projs" sheetId="16" r:id="rId2"/>
    <sheet name="3 - Cash Flow Statement Setup" sheetId="15" r:id="rId3"/>
    <sheet name="4 - Historical BS + Wkg Capital" sheetId="13" r:id="rId4"/>
    <sheet name="5 - Other Asset &amp; Liabilities" sheetId="12" r:id="rId5"/>
    <sheet name="6 - Property, Plant &amp; Equipment" sheetId="11" r:id="rId6"/>
    <sheet name="7 - Common &amp; Treasury Stock" sheetId="10" r:id="rId7"/>
    <sheet name="8 - Retained Earnings" sheetId="14" r:id="rId8"/>
    <sheet name="9 - Revolving Credit Facility" sheetId="9" r:id="rId9"/>
    <sheet name="10 - Long-Term Debt" sheetId="8" r:id="rId10"/>
    <sheet name="11 - Connect CFS to Cash" sheetId="7" r:id="rId11"/>
    <sheet name="12 - Interest Income &amp; Expense" sheetId="6" r:id="rId12"/>
    <sheet name="13 - Visual Model Checks" sheetId="18" r:id="rId13"/>
    <sheet name="14 - EPS Mechanics" sheetId="5" r:id="rId14"/>
    <sheet name="15 - Summary Page " sheetId="4" r:id="rId15"/>
    <sheet name="Completed Model" sheetId="3" r:id="rId16"/>
    <sheet name="16 - Operating Cases" sheetId="19" r:id="rId17"/>
    <sheet name="17 - Sensitivity Analysis" sheetId="20" r:id="rId18"/>
    <sheet name="Completed S&amp;S" sheetId="24" r:id="rId19"/>
    <sheet name="18 - 3SM --&gt; No Schedules" sheetId="25" r:id="rId20"/>
    <sheet name="No Schedules Completed" sheetId="26" r:id="rId21"/>
    <sheet name="19 - No Schedules --&gt; Mini" sheetId="27" r:id="rId22"/>
    <sheet name="Mini Model Completed" sheetId="30" r:id="rId23"/>
    <sheet name="20 - Model - Common Errors 1" sheetId="22" r:id="rId24"/>
    <sheet name="21 - Model - Common Errors 2" sheetId="28" r:id="rId25"/>
    <sheet name="Error Answers" sheetId="29" r:id="rId26"/>
  </sheets>
  <definedNames>
    <definedName name="MLNK42b588c23b2445d58d01794b1bf2e03d" localSheetId="0" hidden="1">'1 - Historical Income Statement'!$1:$1048576</definedName>
    <definedName name="MLNK42b588c23b2445d58d01794b1bf2e03d" localSheetId="9" hidden="1">'10 - Long-Term Debt'!$1:$1048576</definedName>
    <definedName name="MLNK42b588c23b2445d58d01794b1bf2e03d" localSheetId="10" hidden="1">'11 - Connect CFS to Cash'!$1:$1048576</definedName>
    <definedName name="MLNK42b588c23b2445d58d01794b1bf2e03d" localSheetId="11" hidden="1">'12 - Interest Income &amp; Expense'!$1:$1048576</definedName>
    <definedName name="MLNK42b588c23b2445d58d01794b1bf2e03d" localSheetId="12" hidden="1">'13 - Visual Model Checks'!$1:$1048576</definedName>
    <definedName name="MLNK42b588c23b2445d58d01794b1bf2e03d" localSheetId="13" hidden="1">'14 - EPS Mechanics'!$1:$1048576</definedName>
    <definedName name="MLNK42b588c23b2445d58d01794b1bf2e03d" localSheetId="14" hidden="1">'15 - Summary Page '!$1:$1048576</definedName>
    <definedName name="MLNK42b588c23b2445d58d01794b1bf2e03d" localSheetId="16" hidden="1">'16 - Operating Cases'!$1:$1048576</definedName>
    <definedName name="MLNK42b588c23b2445d58d01794b1bf2e03d" localSheetId="17" hidden="1">'17 - Sensitivity Analysis'!$1:$1048576</definedName>
    <definedName name="MLNK42b588c23b2445d58d01794b1bf2e03d" localSheetId="19" hidden="1">'18 - 3SM --&gt; No Schedules'!$1:$1048576</definedName>
    <definedName name="MLNK42b588c23b2445d58d01794b1bf2e03d" localSheetId="21" hidden="1">'19 - No Schedules --&gt; Mini'!$1:$1048576</definedName>
    <definedName name="MLNK42b588c23b2445d58d01794b1bf2e03d" localSheetId="1" hidden="1">'2 - Revenue &amp; Expense Projs'!$1:$1048576</definedName>
    <definedName name="MLNK42b588c23b2445d58d01794b1bf2e03d" localSheetId="23" hidden="1">'20 - Model - Common Errors 1'!$1:$1048576</definedName>
    <definedName name="MLNK42b588c23b2445d58d01794b1bf2e03d" localSheetId="24" hidden="1">'21 - Model - Common Errors 2'!$1:$1048576</definedName>
    <definedName name="MLNK42b588c23b2445d58d01794b1bf2e03d" localSheetId="2" hidden="1">'3 - Cash Flow Statement Setup'!$1:$1048576</definedName>
    <definedName name="MLNK42b588c23b2445d58d01794b1bf2e03d" localSheetId="3" hidden="1">'4 - Historical BS + Wkg Capital'!$1:$1048576</definedName>
    <definedName name="MLNK42b588c23b2445d58d01794b1bf2e03d" localSheetId="4" hidden="1">'5 - Other Asset &amp; Liabilities'!$1:$1048576</definedName>
    <definedName name="MLNK42b588c23b2445d58d01794b1bf2e03d" localSheetId="5" hidden="1">'6 - Property, Plant &amp; Equipment'!$1:$1048576</definedName>
    <definedName name="MLNK42b588c23b2445d58d01794b1bf2e03d" localSheetId="6" hidden="1">'7 - Common &amp; Treasury Stock'!$1:$1048576</definedName>
    <definedName name="MLNK42b588c23b2445d58d01794b1bf2e03d" localSheetId="7" hidden="1">'8 - Retained Earnings'!$1:$1048576</definedName>
    <definedName name="MLNK42b588c23b2445d58d01794b1bf2e03d" localSheetId="8" hidden="1">'9 - Revolving Credit Facility'!$1:$1048576</definedName>
    <definedName name="MLNK42b588c23b2445d58d01794b1bf2e03d" localSheetId="15" hidden="1">'Completed Model'!$1:$1048576</definedName>
    <definedName name="MLNK42b588c23b2445d58d01794b1bf2e03d" localSheetId="18" hidden="1">'Completed S&amp;S'!$1:$1048576</definedName>
    <definedName name="MLNK42b588c23b2445d58d01794b1bf2e03d" localSheetId="22" hidden="1">'Mini Model Completed'!$1:$1048576</definedName>
    <definedName name="MLNK42b588c23b2445d58d01794b1bf2e03d" localSheetId="20" hidden="1">'No Schedules Completed'!$1:$1048576</definedName>
    <definedName name="MLNK42b588c23b2445d58d01794b1bf2e03d" hidden="1">#REF!</definedName>
    <definedName name="MLNKac0db6b3e30a4c46b6bc4b9f0e531a6d" localSheetId="0" hidden="1">'1 - Historical Income Statement'!$K$239:$O$239</definedName>
    <definedName name="MLNKac0db6b3e30a4c46b6bc4b9f0e531a6d" localSheetId="9" hidden="1">'10 - Long-Term Debt'!$K$239:$O$239</definedName>
    <definedName name="MLNKac0db6b3e30a4c46b6bc4b9f0e531a6d" localSheetId="10" hidden="1">'11 - Connect CFS to Cash'!$K$239:$O$239</definedName>
    <definedName name="MLNKac0db6b3e30a4c46b6bc4b9f0e531a6d" localSheetId="11" hidden="1">'12 - Interest Income &amp; Expense'!$K$239:$O$239</definedName>
    <definedName name="MLNKac0db6b3e30a4c46b6bc4b9f0e531a6d" localSheetId="12" hidden="1">'13 - Visual Model Checks'!$K$239:$O$239</definedName>
    <definedName name="MLNKac0db6b3e30a4c46b6bc4b9f0e531a6d" localSheetId="13" hidden="1">'14 - EPS Mechanics'!$K$239:$O$239</definedName>
    <definedName name="MLNKac0db6b3e30a4c46b6bc4b9f0e531a6d" localSheetId="14" hidden="1">'15 - Summary Page '!$K$239:$O$239</definedName>
    <definedName name="MLNKac0db6b3e30a4c46b6bc4b9f0e531a6d" localSheetId="16" hidden="1">'16 - Operating Cases'!$K$239:$O$239</definedName>
    <definedName name="MLNKac0db6b3e30a4c46b6bc4b9f0e531a6d" localSheetId="17" hidden="1">'17 - Sensitivity Analysis'!$K$239:$O$239</definedName>
    <definedName name="MLNKac0db6b3e30a4c46b6bc4b9f0e531a6d" localSheetId="19" hidden="1">'18 - 3SM --&gt; No Schedules'!$K$251:$O$251</definedName>
    <definedName name="MLNKac0db6b3e30a4c46b6bc4b9f0e531a6d" localSheetId="21" hidden="1">'19 - No Schedules --&gt; Mini'!$K$175:$O$175</definedName>
    <definedName name="MLNKac0db6b3e30a4c46b6bc4b9f0e531a6d" localSheetId="1" hidden="1">'2 - Revenue &amp; Expense Projs'!$K$239:$O$239</definedName>
    <definedName name="MLNKac0db6b3e30a4c46b6bc4b9f0e531a6d" localSheetId="23" hidden="1">'20 - Model - Common Errors 1'!$K$201:$O$201</definedName>
    <definedName name="MLNKac0db6b3e30a4c46b6bc4b9f0e531a6d" localSheetId="24" hidden="1">'21 - Model - Common Errors 2'!$K$251:$O$251</definedName>
    <definedName name="MLNKac0db6b3e30a4c46b6bc4b9f0e531a6d" localSheetId="2" hidden="1">'3 - Cash Flow Statement Setup'!$K$239:$O$239</definedName>
    <definedName name="MLNKac0db6b3e30a4c46b6bc4b9f0e531a6d" localSheetId="3" hidden="1">'4 - Historical BS + Wkg Capital'!$K$239:$O$239</definedName>
    <definedName name="MLNKac0db6b3e30a4c46b6bc4b9f0e531a6d" localSheetId="4" hidden="1">'5 - Other Asset &amp; Liabilities'!$K$239:$O$239</definedName>
    <definedName name="MLNKac0db6b3e30a4c46b6bc4b9f0e531a6d" localSheetId="5" hidden="1">'6 - Property, Plant &amp; Equipment'!$K$239:$O$239</definedName>
    <definedName name="MLNKac0db6b3e30a4c46b6bc4b9f0e531a6d" localSheetId="6" hidden="1">'7 - Common &amp; Treasury Stock'!$K$239:$O$239</definedName>
    <definedName name="MLNKac0db6b3e30a4c46b6bc4b9f0e531a6d" localSheetId="7" hidden="1">'8 - Retained Earnings'!$K$239:$O$239</definedName>
    <definedName name="MLNKac0db6b3e30a4c46b6bc4b9f0e531a6d" localSheetId="8" hidden="1">'9 - Revolving Credit Facility'!$K$239:$O$239</definedName>
    <definedName name="MLNKac0db6b3e30a4c46b6bc4b9f0e531a6d" localSheetId="15" hidden="1">'Completed Model'!$K$239:$O$239</definedName>
    <definedName name="MLNKac0db6b3e30a4c46b6bc4b9f0e531a6d" localSheetId="18" hidden="1">'Completed S&amp;S'!$K$239:$O$239</definedName>
    <definedName name="MLNKac0db6b3e30a4c46b6bc4b9f0e531a6d" localSheetId="22" hidden="1">'Mini Model Completed'!$K$175:$O$175</definedName>
    <definedName name="MLNKac0db6b3e30a4c46b6bc4b9f0e531a6d" localSheetId="20" hidden="1">'No Schedules Completed'!$K$251:$O$251</definedName>
    <definedName name="MLNKac0db6b3e30a4c46b6bc4b9f0e531a6d" hidden="1">#REF!</definedName>
    <definedName name="MLNKad91a84f38564ca19d1171ddce0bbb71" localSheetId="0" hidden="1">'1 - Historical Income Statement'!$B$135:$O$135</definedName>
    <definedName name="MLNKad91a84f38564ca19d1171ddce0bbb71" localSheetId="9" hidden="1">'10 - Long-Term Debt'!$B$135:$O$135</definedName>
    <definedName name="MLNKad91a84f38564ca19d1171ddce0bbb71" localSheetId="10" hidden="1">'11 - Connect CFS to Cash'!$B$135:$O$135</definedName>
    <definedName name="MLNKad91a84f38564ca19d1171ddce0bbb71" localSheetId="11" hidden="1">'12 - Interest Income &amp; Expense'!$B$135:$O$135</definedName>
    <definedName name="MLNKad91a84f38564ca19d1171ddce0bbb71" localSheetId="12" hidden="1">'13 - Visual Model Checks'!$B$135:$O$135</definedName>
    <definedName name="MLNKad91a84f38564ca19d1171ddce0bbb71" localSheetId="13" hidden="1">'14 - EPS Mechanics'!$B$135:$O$135</definedName>
    <definedName name="MLNKad91a84f38564ca19d1171ddce0bbb71" localSheetId="14" hidden="1">'15 - Summary Page '!$B$135:$O$135</definedName>
    <definedName name="MLNKad91a84f38564ca19d1171ddce0bbb71" localSheetId="16" hidden="1">'16 - Operating Cases'!$B$135:$O$135</definedName>
    <definedName name="MLNKad91a84f38564ca19d1171ddce0bbb71" localSheetId="17" hidden="1">'17 - Sensitivity Analysis'!$B$135:$O$135</definedName>
    <definedName name="MLNKad91a84f38564ca19d1171ddce0bbb71" localSheetId="19" hidden="1">'18 - 3SM --&gt; No Schedules'!$B$147:$O$147</definedName>
    <definedName name="MLNKad91a84f38564ca19d1171ddce0bbb71" localSheetId="21" hidden="1">'19 - No Schedules --&gt; Mini'!$B$94:$O$94</definedName>
    <definedName name="MLNKad91a84f38564ca19d1171ddce0bbb71" localSheetId="1" hidden="1">'2 - Revenue &amp; Expense Projs'!$B$135:$O$135</definedName>
    <definedName name="MLNKad91a84f38564ca19d1171ddce0bbb71" localSheetId="23" hidden="1">'20 - Model - Common Errors 1'!$B$98:$O$98</definedName>
    <definedName name="MLNKad91a84f38564ca19d1171ddce0bbb71" localSheetId="24" hidden="1">'21 - Model - Common Errors 2'!$B$147:$O$147</definedName>
    <definedName name="MLNKad91a84f38564ca19d1171ddce0bbb71" localSheetId="2" hidden="1">'3 - Cash Flow Statement Setup'!$B$135:$O$135</definedName>
    <definedName name="MLNKad91a84f38564ca19d1171ddce0bbb71" localSheetId="3" hidden="1">'4 - Historical BS + Wkg Capital'!$B$135:$O$135</definedName>
    <definedName name="MLNKad91a84f38564ca19d1171ddce0bbb71" localSheetId="4" hidden="1">'5 - Other Asset &amp; Liabilities'!$B$135:$O$135</definedName>
    <definedName name="MLNKad91a84f38564ca19d1171ddce0bbb71" localSheetId="5" hidden="1">'6 - Property, Plant &amp; Equipment'!$B$135:$O$135</definedName>
    <definedName name="MLNKad91a84f38564ca19d1171ddce0bbb71" localSheetId="6" hidden="1">'7 - Common &amp; Treasury Stock'!$B$135:$O$135</definedName>
    <definedName name="MLNKad91a84f38564ca19d1171ddce0bbb71" localSheetId="7" hidden="1">'8 - Retained Earnings'!$B$135:$O$135</definedName>
    <definedName name="MLNKad91a84f38564ca19d1171ddce0bbb71" localSheetId="8" hidden="1">'9 - Revolving Credit Facility'!$B$135:$O$135</definedName>
    <definedName name="MLNKad91a84f38564ca19d1171ddce0bbb71" localSheetId="15" hidden="1">'Completed Model'!$B$135:$O$135</definedName>
    <definedName name="MLNKad91a84f38564ca19d1171ddce0bbb71" localSheetId="18" hidden="1">'Completed S&amp;S'!$B$135:$O$135</definedName>
    <definedName name="MLNKad91a84f38564ca19d1171ddce0bbb71" localSheetId="22" hidden="1">'Mini Model Completed'!$B$94:$O$94</definedName>
    <definedName name="MLNKad91a84f38564ca19d1171ddce0bbb71" localSheetId="20" hidden="1">'No Schedules Completed'!$B$147:$O$147</definedName>
    <definedName name="MLNKad91a84f38564ca19d1171ddce0bbb71" hidden="1">#REF!</definedName>
    <definedName name="_xlnm.Print_Area" localSheetId="0">'1 - Historical Income Statement'!$B$22:$O$317</definedName>
    <definedName name="_xlnm.Print_Area" localSheetId="9">'10 - Long-Term Debt'!$B$22:$O$317</definedName>
    <definedName name="_xlnm.Print_Area" localSheetId="10">'11 - Connect CFS to Cash'!$B$22:$O$317</definedName>
    <definedName name="_xlnm.Print_Area" localSheetId="11">'12 - Interest Income &amp; Expense'!$B$22:$O$317</definedName>
    <definedName name="_xlnm.Print_Area" localSheetId="12">'13 - Visual Model Checks'!$B$22:$O$317</definedName>
    <definedName name="_xlnm.Print_Area" localSheetId="13">'14 - EPS Mechanics'!$B$22:$O$317</definedName>
    <definedName name="_xlnm.Print_Area" localSheetId="14">'15 - Summary Page '!$B$22:$O$317</definedName>
    <definedName name="_xlnm.Print_Area" localSheetId="16">'16 - Operating Cases'!$B$22:$O$337</definedName>
    <definedName name="_xlnm.Print_Area" localSheetId="17">'17 - Sensitivity Analysis'!$B$22:$O$349</definedName>
    <definedName name="_xlnm.Print_Area" localSheetId="19">'18 - 3SM --&gt; No Schedules'!$B$22:$O$350</definedName>
    <definedName name="_xlnm.Print_Area" localSheetId="21">'19 - No Schedules --&gt; Mini'!$B$21:$O$229</definedName>
    <definedName name="_xlnm.Print_Area" localSheetId="1">'2 - Revenue &amp; Expense Projs'!$B$22:$O$317</definedName>
    <definedName name="_xlnm.Print_Area" localSheetId="23">'20 - Model - Common Errors 1'!$B$22:$O$299</definedName>
    <definedName name="_xlnm.Print_Area" localSheetId="24">'21 - Model - Common Errors 2'!$B$22:$O$304</definedName>
    <definedName name="_xlnm.Print_Area" localSheetId="2">'3 - Cash Flow Statement Setup'!$B$22:$O$317</definedName>
    <definedName name="_xlnm.Print_Area" localSheetId="3">'4 - Historical BS + Wkg Capital'!$B$22:$O$317</definedName>
    <definedName name="_xlnm.Print_Area" localSheetId="4">'5 - Other Asset &amp; Liabilities'!$B$22:$O$317</definedName>
    <definedName name="_xlnm.Print_Area" localSheetId="5">'6 - Property, Plant &amp; Equipment'!$B$22:$O$317</definedName>
    <definedName name="_xlnm.Print_Area" localSheetId="6">'7 - Common &amp; Treasury Stock'!$B$22:$O$317</definedName>
    <definedName name="_xlnm.Print_Area" localSheetId="7">'8 - Retained Earnings'!$B$22:$O$317</definedName>
    <definedName name="_xlnm.Print_Area" localSheetId="8">'9 - Revolving Credit Facility'!$B$22:$O$317</definedName>
    <definedName name="_xlnm.Print_Area" localSheetId="15">'Completed Model'!$B$22:$O$317</definedName>
    <definedName name="_xlnm.Print_Area" localSheetId="18">'Completed S&amp;S'!$B$22:$O$349</definedName>
    <definedName name="_xlnm.Print_Area" localSheetId="22">'Mini Model Completed'!$B$21:$O$229</definedName>
    <definedName name="_xlnm.Print_Area" localSheetId="20">'No Schedules Completed'!$B$22:$O$304</definedName>
    <definedName name="_xlnm.Print_Titles" localSheetId="0">'1 - Historical Income Statement'!$20:$21</definedName>
    <definedName name="_xlnm.Print_Titles" localSheetId="9">'10 - Long-Term Debt'!$20:$21</definedName>
    <definedName name="_xlnm.Print_Titles" localSheetId="10">'11 - Connect CFS to Cash'!$20:$21</definedName>
    <definedName name="_xlnm.Print_Titles" localSheetId="11">'12 - Interest Income &amp; Expense'!$20:$21</definedName>
    <definedName name="_xlnm.Print_Titles" localSheetId="12">'13 - Visual Model Checks'!$20:$21</definedName>
    <definedName name="_xlnm.Print_Titles" localSheetId="13">'14 - EPS Mechanics'!$20:$21</definedName>
    <definedName name="_xlnm.Print_Titles" localSheetId="14">'15 - Summary Page '!$20:$21</definedName>
    <definedName name="_xlnm.Print_Titles" localSheetId="16">'16 - Operating Cases'!$20:$21</definedName>
    <definedName name="_xlnm.Print_Titles" localSheetId="17">'17 - Sensitivity Analysis'!$20:$21</definedName>
    <definedName name="_xlnm.Print_Titles" localSheetId="19">'18 - 3SM --&gt; No Schedules'!$20:$21</definedName>
    <definedName name="_xlnm.Print_Titles" localSheetId="21">'19 - No Schedules --&gt; Mini'!$19:$20</definedName>
    <definedName name="_xlnm.Print_Titles" localSheetId="1">'2 - Revenue &amp; Expense Projs'!$20:$21</definedName>
    <definedName name="_xlnm.Print_Titles" localSheetId="23">'20 - Model - Common Errors 1'!$20:$21</definedName>
    <definedName name="_xlnm.Print_Titles" localSheetId="24">'21 - Model - Common Errors 2'!$20:$21</definedName>
    <definedName name="_xlnm.Print_Titles" localSheetId="2">'3 - Cash Flow Statement Setup'!$20:$21</definedName>
    <definedName name="_xlnm.Print_Titles" localSheetId="3">'4 - Historical BS + Wkg Capital'!$20:$21</definedName>
    <definedName name="_xlnm.Print_Titles" localSheetId="4">'5 - Other Asset &amp; Liabilities'!$20:$21</definedName>
    <definedName name="_xlnm.Print_Titles" localSheetId="5">'6 - Property, Plant &amp; Equipment'!$20:$21</definedName>
    <definedName name="_xlnm.Print_Titles" localSheetId="6">'7 - Common &amp; Treasury Stock'!$20:$21</definedName>
    <definedName name="_xlnm.Print_Titles" localSheetId="7">'8 - Retained Earnings'!$20:$21</definedName>
    <definedName name="_xlnm.Print_Titles" localSheetId="8">'9 - Revolving Credit Facility'!$20:$21</definedName>
    <definedName name="_xlnm.Print_Titles" localSheetId="15">'Completed Model'!$20:$21</definedName>
    <definedName name="_xlnm.Print_Titles" localSheetId="18">'Completed S&amp;S'!$20:$21</definedName>
    <definedName name="_xlnm.Print_Titles" localSheetId="22">'Mini Model Completed'!$19:$20</definedName>
    <definedName name="_xlnm.Print_Titles" localSheetId="20">'No Schedules Completed'!$20:$21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8" i="16" l="1"/>
  <c r="N68" i="16"/>
  <c r="M68" i="16"/>
  <c r="L68" i="16"/>
  <c r="K68" i="16"/>
  <c r="O66" i="16"/>
  <c r="N66" i="16"/>
  <c r="M66" i="16"/>
  <c r="L66" i="16"/>
  <c r="K66" i="16"/>
  <c r="O229" i="30"/>
  <c r="O53" i="30" s="1"/>
  <c r="N229" i="30"/>
  <c r="N53" i="30" s="1"/>
  <c r="M229" i="30"/>
  <c r="M53" i="30" s="1"/>
  <c r="L229" i="30"/>
  <c r="L53" i="30" s="1"/>
  <c r="K229" i="30"/>
  <c r="K53" i="30" s="1"/>
  <c r="B229" i="30"/>
  <c r="O223" i="30"/>
  <c r="O52" i="30" s="1"/>
  <c r="N223" i="30"/>
  <c r="N52" i="30" s="1"/>
  <c r="M223" i="30"/>
  <c r="M52" i="30" s="1"/>
  <c r="L223" i="30"/>
  <c r="L52" i="30" s="1"/>
  <c r="K223" i="30"/>
  <c r="K52" i="30" s="1"/>
  <c r="B223" i="30"/>
  <c r="O217" i="30"/>
  <c r="O51" i="30" s="1"/>
  <c r="N217" i="30"/>
  <c r="N51" i="30" s="1"/>
  <c r="M217" i="30"/>
  <c r="M51" i="30" s="1"/>
  <c r="L217" i="30"/>
  <c r="L51" i="30" s="1"/>
  <c r="K217" i="30"/>
  <c r="K51" i="30" s="1"/>
  <c r="K26" i="30" s="1"/>
  <c r="B217" i="30"/>
  <c r="B208" i="30"/>
  <c r="L204" i="30"/>
  <c r="L199" i="30" s="1"/>
  <c r="K204" i="30"/>
  <c r="K199" i="30" s="1"/>
  <c r="M203" i="30"/>
  <c r="N203" i="30" s="1"/>
  <c r="L203" i="30"/>
  <c r="O195" i="30"/>
  <c r="N195" i="30"/>
  <c r="M195" i="30"/>
  <c r="L195" i="30"/>
  <c r="K195" i="30"/>
  <c r="J192" i="30"/>
  <c r="J191" i="30" s="1"/>
  <c r="K191" i="30" s="1"/>
  <c r="L191" i="30" s="1"/>
  <c r="M191" i="30" s="1"/>
  <c r="N191" i="30" s="1"/>
  <c r="O191" i="30" s="1"/>
  <c r="I192" i="30"/>
  <c r="I191" i="30" s="1"/>
  <c r="H192" i="30"/>
  <c r="J190" i="30"/>
  <c r="K207" i="30" s="1"/>
  <c r="I190" i="30"/>
  <c r="H190" i="30"/>
  <c r="H191" i="30" s="1"/>
  <c r="K166" i="30"/>
  <c r="L164" i="30" s="1"/>
  <c r="B163" i="30"/>
  <c r="B152" i="30"/>
  <c r="K151" i="30"/>
  <c r="O140" i="30"/>
  <c r="N140" i="30"/>
  <c r="M140" i="30"/>
  <c r="L140" i="30"/>
  <c r="K140" i="30"/>
  <c r="K139" i="30"/>
  <c r="O135" i="30"/>
  <c r="N135" i="30"/>
  <c r="N116" i="30" s="1"/>
  <c r="M135" i="30"/>
  <c r="L135" i="30"/>
  <c r="K135" i="30"/>
  <c r="K116" i="30" s="1"/>
  <c r="O134" i="30"/>
  <c r="N134" i="30"/>
  <c r="M134" i="30"/>
  <c r="L134" i="30"/>
  <c r="K134" i="30"/>
  <c r="O127" i="30"/>
  <c r="O128" i="30" s="1"/>
  <c r="N127" i="30"/>
  <c r="N128" i="30" s="1"/>
  <c r="M127" i="30"/>
  <c r="M128" i="30" s="1"/>
  <c r="L127" i="30"/>
  <c r="L128" i="30" s="1"/>
  <c r="K127" i="30"/>
  <c r="K128" i="30" s="1"/>
  <c r="K125" i="30"/>
  <c r="O116" i="30"/>
  <c r="M116" i="30"/>
  <c r="L116" i="30"/>
  <c r="O115" i="30"/>
  <c r="N115" i="30"/>
  <c r="M115" i="30"/>
  <c r="L115" i="30"/>
  <c r="K115" i="30"/>
  <c r="K99" i="30"/>
  <c r="K98" i="30"/>
  <c r="K124" i="30" s="1"/>
  <c r="K150" i="30" s="1"/>
  <c r="K174" i="30" s="1"/>
  <c r="H185" i="30" s="1"/>
  <c r="J94" i="30"/>
  <c r="I94" i="30"/>
  <c r="H94" i="30"/>
  <c r="B94" i="30"/>
  <c r="J93" i="30"/>
  <c r="I93" i="30"/>
  <c r="H93" i="30"/>
  <c r="B93" i="30"/>
  <c r="J92" i="30"/>
  <c r="I92" i="30"/>
  <c r="I83" i="30" s="1"/>
  <c r="H92" i="30"/>
  <c r="B92" i="30"/>
  <c r="J86" i="30"/>
  <c r="I86" i="30"/>
  <c r="H86" i="30"/>
  <c r="J83" i="30"/>
  <c r="H83" i="30"/>
  <c r="J81" i="30"/>
  <c r="I81" i="30"/>
  <c r="H81" i="30"/>
  <c r="J76" i="30"/>
  <c r="J77" i="30" s="1"/>
  <c r="K77" i="30" s="1"/>
  <c r="I76" i="30"/>
  <c r="I77" i="30" s="1"/>
  <c r="H76" i="30"/>
  <c r="H77" i="30" s="1"/>
  <c r="K64" i="30"/>
  <c r="H63" i="30"/>
  <c r="J59" i="30"/>
  <c r="I59" i="30"/>
  <c r="H59" i="30"/>
  <c r="J53" i="30"/>
  <c r="I53" i="30"/>
  <c r="H53" i="30"/>
  <c r="J52" i="30"/>
  <c r="J51" i="30"/>
  <c r="I51" i="30"/>
  <c r="J28" i="30"/>
  <c r="J30" i="30" s="1"/>
  <c r="I28" i="30"/>
  <c r="I52" i="30" s="1"/>
  <c r="H28" i="30"/>
  <c r="H52" i="30" s="1"/>
  <c r="K25" i="30"/>
  <c r="K175" i="30" s="1"/>
  <c r="J25" i="30"/>
  <c r="J64" i="30" s="1"/>
  <c r="B19" i="30"/>
  <c r="K126" i="28"/>
  <c r="L126" i="28" s="1"/>
  <c r="M126" i="28" s="1"/>
  <c r="N126" i="28" s="1"/>
  <c r="O126" i="28" s="1"/>
  <c r="K125" i="28"/>
  <c r="L125" i="28" s="1"/>
  <c r="M125" i="28" s="1"/>
  <c r="N125" i="28" s="1"/>
  <c r="O125" i="28" s="1"/>
  <c r="O304" i="28"/>
  <c r="O91" i="28" s="1"/>
  <c r="N304" i="28"/>
  <c r="N91" i="28" s="1"/>
  <c r="M304" i="28"/>
  <c r="M91" i="28" s="1"/>
  <c r="L304" i="28"/>
  <c r="L91" i="28" s="1"/>
  <c r="K304" i="28"/>
  <c r="K91" i="28" s="1"/>
  <c r="B304" i="28"/>
  <c r="O298" i="28"/>
  <c r="O90" i="28" s="1"/>
  <c r="N298" i="28"/>
  <c r="N90" i="28" s="1"/>
  <c r="M298" i="28"/>
  <c r="M90" i="28" s="1"/>
  <c r="L298" i="28"/>
  <c r="L90" i="28" s="1"/>
  <c r="K298" i="28"/>
  <c r="K90" i="28" s="1"/>
  <c r="B298" i="28"/>
  <c r="O292" i="28"/>
  <c r="O89" i="28" s="1"/>
  <c r="N292" i="28"/>
  <c r="N89" i="28" s="1"/>
  <c r="M292" i="28"/>
  <c r="M89" i="28" s="1"/>
  <c r="L292" i="28"/>
  <c r="L89" i="28" s="1"/>
  <c r="K292" i="28"/>
  <c r="K89" i="28" s="1"/>
  <c r="B292" i="28"/>
  <c r="B283" i="28"/>
  <c r="K279" i="28"/>
  <c r="L278" i="28"/>
  <c r="L279" i="28" s="1"/>
  <c r="O270" i="28"/>
  <c r="N270" i="28"/>
  <c r="M270" i="28"/>
  <c r="L270" i="28"/>
  <c r="K270" i="28"/>
  <c r="J267" i="28"/>
  <c r="I267" i="28"/>
  <c r="H267" i="28"/>
  <c r="J266" i="28"/>
  <c r="K266" i="28" s="1"/>
  <c r="L266" i="28" s="1"/>
  <c r="M266" i="28" s="1"/>
  <c r="N266" i="28" s="1"/>
  <c r="O266" i="28" s="1"/>
  <c r="I266" i="28"/>
  <c r="H266" i="28"/>
  <c r="J265" i="28"/>
  <c r="K282" i="28" s="1"/>
  <c r="I265" i="28"/>
  <c r="H265" i="28"/>
  <c r="K252" i="28"/>
  <c r="K240" i="28"/>
  <c r="B239" i="28"/>
  <c r="K229" i="28"/>
  <c r="B221" i="28"/>
  <c r="B228" i="28" s="1"/>
  <c r="O216" i="28"/>
  <c r="N216" i="28"/>
  <c r="M216" i="28"/>
  <c r="L216" i="28"/>
  <c r="K216" i="28"/>
  <c r="K215" i="28"/>
  <c r="O211" i="28"/>
  <c r="O192" i="28" s="1"/>
  <c r="N211" i="28"/>
  <c r="N192" i="28" s="1"/>
  <c r="M211" i="28"/>
  <c r="M192" i="28" s="1"/>
  <c r="L211" i="28"/>
  <c r="L192" i="28" s="1"/>
  <c r="K211" i="28"/>
  <c r="O210" i="28"/>
  <c r="O191" i="28" s="1"/>
  <c r="N210" i="28"/>
  <c r="N191" i="28" s="1"/>
  <c r="M210" i="28"/>
  <c r="M191" i="28" s="1"/>
  <c r="L210" i="28"/>
  <c r="K210" i="28"/>
  <c r="K191" i="28" s="1"/>
  <c r="M204" i="28"/>
  <c r="M189" i="28" s="1"/>
  <c r="L204" i="28"/>
  <c r="L208" i="28" s="1"/>
  <c r="K204" i="28"/>
  <c r="K189" i="28" s="1"/>
  <c r="O203" i="28"/>
  <c r="O204" i="28" s="1"/>
  <c r="N203" i="28"/>
  <c r="N204" i="28" s="1"/>
  <c r="M203" i="28"/>
  <c r="L203" i="28"/>
  <c r="K203" i="28"/>
  <c r="B203" i="28"/>
  <c r="K192" i="28"/>
  <c r="L191" i="28"/>
  <c r="L189" i="28"/>
  <c r="B179" i="28"/>
  <c r="B178" i="28"/>
  <c r="B177" i="28"/>
  <c r="B176" i="28"/>
  <c r="B175" i="28"/>
  <c r="B174" i="28"/>
  <c r="B173" i="28"/>
  <c r="B172" i="28"/>
  <c r="I156" i="28"/>
  <c r="H156" i="28"/>
  <c r="J155" i="28"/>
  <c r="J147" i="28"/>
  <c r="I147" i="28"/>
  <c r="H147" i="28"/>
  <c r="B147" i="28"/>
  <c r="J146" i="28"/>
  <c r="J151" i="28" s="1"/>
  <c r="I146" i="28"/>
  <c r="I155" i="28" s="1"/>
  <c r="H146" i="28"/>
  <c r="H155" i="28" s="1"/>
  <c r="B146" i="28"/>
  <c r="J145" i="28"/>
  <c r="J153" i="28" s="1"/>
  <c r="I145" i="28"/>
  <c r="I153" i="28" s="1"/>
  <c r="H145" i="28"/>
  <c r="H132" i="28" s="1"/>
  <c r="B145" i="28"/>
  <c r="J123" i="28"/>
  <c r="I123" i="28"/>
  <c r="H123" i="28"/>
  <c r="J117" i="28"/>
  <c r="J128" i="28" s="1"/>
  <c r="I117" i="28"/>
  <c r="I128" i="28" s="1"/>
  <c r="H117" i="28"/>
  <c r="H128" i="28" s="1"/>
  <c r="K110" i="28"/>
  <c r="L110" i="28" s="1"/>
  <c r="M110" i="28" s="1"/>
  <c r="N110" i="28" s="1"/>
  <c r="O110" i="28" s="1"/>
  <c r="J107" i="28"/>
  <c r="J112" i="28" s="1"/>
  <c r="I107" i="28"/>
  <c r="I112" i="28" s="1"/>
  <c r="H107" i="28"/>
  <c r="H101" i="28"/>
  <c r="K165" i="28" s="1"/>
  <c r="K200" i="28" s="1"/>
  <c r="K226" i="28" s="1"/>
  <c r="K250" i="28" s="1"/>
  <c r="H260" i="28" s="1"/>
  <c r="J97" i="28"/>
  <c r="I97" i="28"/>
  <c r="H97" i="28"/>
  <c r="J91" i="28"/>
  <c r="I91" i="28"/>
  <c r="H91" i="28"/>
  <c r="J89" i="28"/>
  <c r="I89" i="28"/>
  <c r="J66" i="28"/>
  <c r="J90" i="28" s="1"/>
  <c r="I66" i="28"/>
  <c r="I90" i="28" s="1"/>
  <c r="H66" i="28"/>
  <c r="H90" i="28" s="1"/>
  <c r="K63" i="28"/>
  <c r="J63" i="28" s="1"/>
  <c r="B50" i="28"/>
  <c r="B49" i="28"/>
  <c r="K36" i="28"/>
  <c r="J27" i="28"/>
  <c r="J28" i="28" s="1"/>
  <c r="I27" i="28"/>
  <c r="I28" i="28" s="1"/>
  <c r="H27" i="28"/>
  <c r="H25" i="28"/>
  <c r="B20" i="28"/>
  <c r="O229" i="27"/>
  <c r="O53" i="27" s="1"/>
  <c r="N229" i="27"/>
  <c r="N53" i="27" s="1"/>
  <c r="M229" i="27"/>
  <c r="M53" i="27" s="1"/>
  <c r="L229" i="27"/>
  <c r="L53" i="27" s="1"/>
  <c r="K229" i="27"/>
  <c r="K53" i="27" s="1"/>
  <c r="B229" i="27"/>
  <c r="O223" i="27"/>
  <c r="O52" i="27" s="1"/>
  <c r="N223" i="27"/>
  <c r="N52" i="27" s="1"/>
  <c r="M223" i="27"/>
  <c r="M52" i="27" s="1"/>
  <c r="L223" i="27"/>
  <c r="L52" i="27" s="1"/>
  <c r="K223" i="27"/>
  <c r="K52" i="27" s="1"/>
  <c r="B223" i="27"/>
  <c r="O217" i="27"/>
  <c r="O51" i="27" s="1"/>
  <c r="N217" i="27"/>
  <c r="N51" i="27" s="1"/>
  <c r="M217" i="27"/>
  <c r="M51" i="27" s="1"/>
  <c r="L217" i="27"/>
  <c r="L51" i="27" s="1"/>
  <c r="K217" i="27"/>
  <c r="K51" i="27" s="1"/>
  <c r="B217" i="27"/>
  <c r="B208" i="27"/>
  <c r="L204" i="27"/>
  <c r="K204" i="27"/>
  <c r="L203" i="27"/>
  <c r="M203" i="27" s="1"/>
  <c r="O195" i="27"/>
  <c r="N195" i="27"/>
  <c r="M195" i="27"/>
  <c r="L195" i="27"/>
  <c r="K195" i="27"/>
  <c r="J192" i="27"/>
  <c r="I192" i="27"/>
  <c r="I191" i="27" s="1"/>
  <c r="H192" i="27"/>
  <c r="J190" i="27"/>
  <c r="K207" i="27" s="1"/>
  <c r="I190" i="27"/>
  <c r="H190" i="27"/>
  <c r="K166" i="27"/>
  <c r="L164" i="27" s="1"/>
  <c r="B163" i="27"/>
  <c r="B152" i="27"/>
  <c r="O140" i="27"/>
  <c r="N140" i="27"/>
  <c r="M140" i="27"/>
  <c r="L140" i="27"/>
  <c r="K140" i="27"/>
  <c r="K139" i="27"/>
  <c r="O135" i="27"/>
  <c r="O116" i="27" s="1"/>
  <c r="N135" i="27"/>
  <c r="M135" i="27"/>
  <c r="M116" i="27" s="1"/>
  <c r="L135" i="27"/>
  <c r="L116" i="27" s="1"/>
  <c r="K135" i="27"/>
  <c r="K116" i="27" s="1"/>
  <c r="O134" i="27"/>
  <c r="O115" i="27" s="1"/>
  <c r="N134" i="27"/>
  <c r="N115" i="27" s="1"/>
  <c r="M134" i="27"/>
  <c r="M115" i="27" s="1"/>
  <c r="L134" i="27"/>
  <c r="L115" i="27" s="1"/>
  <c r="K134" i="27"/>
  <c r="K115" i="27" s="1"/>
  <c r="O127" i="27"/>
  <c r="O128" i="27" s="1"/>
  <c r="N127" i="27"/>
  <c r="N128" i="27" s="1"/>
  <c r="N113" i="27" s="1"/>
  <c r="M127" i="27"/>
  <c r="M128" i="27" s="1"/>
  <c r="L127" i="27"/>
  <c r="L128" i="27" s="1"/>
  <c r="K127" i="27"/>
  <c r="K128" i="27" s="1"/>
  <c r="N116" i="27"/>
  <c r="J94" i="27"/>
  <c r="I94" i="27"/>
  <c r="H94" i="27"/>
  <c r="B94" i="27"/>
  <c r="J93" i="27"/>
  <c r="I93" i="27"/>
  <c r="H93" i="27"/>
  <c r="B93" i="27"/>
  <c r="J92" i="27"/>
  <c r="J83" i="27" s="1"/>
  <c r="I92" i="27"/>
  <c r="I86" i="27" s="1"/>
  <c r="H92" i="27"/>
  <c r="H86" i="27" s="1"/>
  <c r="B92" i="27"/>
  <c r="I83" i="27"/>
  <c r="H83" i="27"/>
  <c r="I81" i="27"/>
  <c r="H81" i="27"/>
  <c r="J76" i="27"/>
  <c r="I76" i="27"/>
  <c r="I77" i="27" s="1"/>
  <c r="H76" i="27"/>
  <c r="H77" i="27" s="1"/>
  <c r="H63" i="27"/>
  <c r="K98" i="27" s="1"/>
  <c r="K124" i="27" s="1"/>
  <c r="K150" i="27" s="1"/>
  <c r="K174" i="27" s="1"/>
  <c r="H185" i="27" s="1"/>
  <c r="J59" i="27"/>
  <c r="I59" i="27"/>
  <c r="H59" i="27"/>
  <c r="J53" i="27"/>
  <c r="I53" i="27"/>
  <c r="H53" i="27"/>
  <c r="J51" i="27"/>
  <c r="I51" i="27"/>
  <c r="J28" i="27"/>
  <c r="J52" i="27" s="1"/>
  <c r="I28" i="27"/>
  <c r="I52" i="27" s="1"/>
  <c r="H28" i="27"/>
  <c r="H52" i="27" s="1"/>
  <c r="K25" i="27"/>
  <c r="J25" i="27" s="1"/>
  <c r="B19" i="27"/>
  <c r="L270" i="26"/>
  <c r="M270" i="26"/>
  <c r="N270" i="26"/>
  <c r="O270" i="26"/>
  <c r="K270" i="26"/>
  <c r="L211" i="26"/>
  <c r="L192" i="26" s="1"/>
  <c r="M211" i="26"/>
  <c r="M192" i="26" s="1"/>
  <c r="N211" i="26"/>
  <c r="N192" i="26" s="1"/>
  <c r="O211" i="26"/>
  <c r="O192" i="26" s="1"/>
  <c r="K211" i="26"/>
  <c r="K192" i="26" s="1"/>
  <c r="L210" i="26"/>
  <c r="L191" i="26" s="1"/>
  <c r="M210" i="26"/>
  <c r="M191" i="26" s="1"/>
  <c r="N210" i="26"/>
  <c r="N191" i="26" s="1"/>
  <c r="O210" i="26"/>
  <c r="O191" i="26" s="1"/>
  <c r="K210" i="26"/>
  <c r="K191" i="26" s="1"/>
  <c r="K126" i="26"/>
  <c r="L126" i="26" s="1"/>
  <c r="M126" i="26" s="1"/>
  <c r="N126" i="26" s="1"/>
  <c r="O126" i="26" s="1"/>
  <c r="O304" i="26"/>
  <c r="O91" i="26" s="1"/>
  <c r="N304" i="26"/>
  <c r="N91" i="26" s="1"/>
  <c r="M304" i="26"/>
  <c r="M91" i="26" s="1"/>
  <c r="L304" i="26"/>
  <c r="L91" i="26" s="1"/>
  <c r="K304" i="26"/>
  <c r="K91" i="26" s="1"/>
  <c r="B304" i="26"/>
  <c r="O298" i="26"/>
  <c r="O90" i="26" s="1"/>
  <c r="N298" i="26"/>
  <c r="N90" i="26" s="1"/>
  <c r="M298" i="26"/>
  <c r="M90" i="26" s="1"/>
  <c r="L298" i="26"/>
  <c r="L90" i="26" s="1"/>
  <c r="K298" i="26"/>
  <c r="K90" i="26" s="1"/>
  <c r="B298" i="26"/>
  <c r="O292" i="26"/>
  <c r="O89" i="26" s="1"/>
  <c r="N292" i="26"/>
  <c r="N89" i="26" s="1"/>
  <c r="M292" i="26"/>
  <c r="M89" i="26" s="1"/>
  <c r="L292" i="26"/>
  <c r="L89" i="26" s="1"/>
  <c r="K292" i="26"/>
  <c r="K89" i="26" s="1"/>
  <c r="B292" i="26"/>
  <c r="B283" i="26"/>
  <c r="K279" i="26"/>
  <c r="L278" i="26"/>
  <c r="L279" i="26" s="1"/>
  <c r="J267" i="26"/>
  <c r="I267" i="26"/>
  <c r="H267" i="26"/>
  <c r="J265" i="26"/>
  <c r="K282" i="26" s="1"/>
  <c r="I265" i="26"/>
  <c r="H265" i="26"/>
  <c r="K252" i="26"/>
  <c r="K240" i="26"/>
  <c r="B239" i="26"/>
  <c r="K229" i="26"/>
  <c r="B221" i="26"/>
  <c r="B228" i="26" s="1"/>
  <c r="O216" i="26"/>
  <c r="N216" i="26"/>
  <c r="M216" i="26"/>
  <c r="L216" i="26"/>
  <c r="K216" i="26"/>
  <c r="K215" i="26"/>
  <c r="O203" i="26"/>
  <c r="O204" i="26" s="1"/>
  <c r="N203" i="26"/>
  <c r="N204" i="26" s="1"/>
  <c r="M203" i="26"/>
  <c r="M204" i="26" s="1"/>
  <c r="L203" i="26"/>
  <c r="L204" i="26" s="1"/>
  <c r="K203" i="26"/>
  <c r="K204" i="26" s="1"/>
  <c r="K189" i="26" s="1"/>
  <c r="B203" i="26"/>
  <c r="B179" i="26"/>
  <c r="B178" i="26"/>
  <c r="B177" i="26"/>
  <c r="B176" i="26"/>
  <c r="B175" i="26"/>
  <c r="B174" i="26"/>
  <c r="B173" i="26"/>
  <c r="B172" i="26"/>
  <c r="J147" i="26"/>
  <c r="I147" i="26"/>
  <c r="H147" i="26"/>
  <c r="B147" i="26"/>
  <c r="J146" i="26"/>
  <c r="I146" i="26"/>
  <c r="H146" i="26"/>
  <c r="B146" i="26"/>
  <c r="J145" i="26"/>
  <c r="J157" i="26" s="1"/>
  <c r="I145" i="26"/>
  <c r="I137" i="26" s="1"/>
  <c r="H145" i="26"/>
  <c r="H150" i="26" s="1"/>
  <c r="B145" i="26"/>
  <c r="J123" i="26"/>
  <c r="I123" i="26"/>
  <c r="H123" i="26"/>
  <c r="J117" i="26"/>
  <c r="I117" i="26"/>
  <c r="H117" i="26"/>
  <c r="K110" i="26"/>
  <c r="L110" i="26" s="1"/>
  <c r="M110" i="26" s="1"/>
  <c r="N110" i="26" s="1"/>
  <c r="O110" i="26" s="1"/>
  <c r="J107" i="26"/>
  <c r="I107" i="26"/>
  <c r="I112" i="26" s="1"/>
  <c r="H107" i="26"/>
  <c r="H101" i="26"/>
  <c r="K165" i="26" s="1"/>
  <c r="K200" i="26" s="1"/>
  <c r="K226" i="26" s="1"/>
  <c r="K250" i="26" s="1"/>
  <c r="J97" i="26"/>
  <c r="I97" i="26"/>
  <c r="H97" i="26"/>
  <c r="J91" i="26"/>
  <c r="I91" i="26"/>
  <c r="H91" i="26"/>
  <c r="J89" i="26"/>
  <c r="I89" i="26"/>
  <c r="J66" i="26"/>
  <c r="J90" i="26" s="1"/>
  <c r="I66" i="26"/>
  <c r="I68" i="26" s="1"/>
  <c r="I71" i="26" s="1"/>
  <c r="H66" i="26"/>
  <c r="H68" i="26" s="1"/>
  <c r="H71" i="26" s="1"/>
  <c r="K63" i="26"/>
  <c r="K166" i="26" s="1"/>
  <c r="B50" i="26"/>
  <c r="B49" i="26"/>
  <c r="K36" i="26"/>
  <c r="J27" i="26"/>
  <c r="I27" i="26"/>
  <c r="H27" i="26"/>
  <c r="H25" i="26"/>
  <c r="B20" i="26"/>
  <c r="O349" i="25"/>
  <c r="O91" i="25" s="1"/>
  <c r="N349" i="25"/>
  <c r="N91" i="25" s="1"/>
  <c r="M349" i="25"/>
  <c r="M91" i="25" s="1"/>
  <c r="L349" i="25"/>
  <c r="L91" i="25" s="1"/>
  <c r="K349" i="25"/>
  <c r="K91" i="25" s="1"/>
  <c r="B349" i="25"/>
  <c r="O343" i="25"/>
  <c r="O90" i="25" s="1"/>
  <c r="N343" i="25"/>
  <c r="N90" i="25" s="1"/>
  <c r="M343" i="25"/>
  <c r="M90" i="25" s="1"/>
  <c r="L343" i="25"/>
  <c r="L90" i="25" s="1"/>
  <c r="K343" i="25"/>
  <c r="K90" i="25" s="1"/>
  <c r="B343" i="25"/>
  <c r="O337" i="25"/>
  <c r="O89" i="25" s="1"/>
  <c r="N337" i="25"/>
  <c r="N89" i="25" s="1"/>
  <c r="M337" i="25"/>
  <c r="M89" i="25" s="1"/>
  <c r="L337" i="25"/>
  <c r="L89" i="25" s="1"/>
  <c r="K337" i="25"/>
  <c r="K89" i="25" s="1"/>
  <c r="B337" i="25"/>
  <c r="B328" i="25"/>
  <c r="K324" i="25"/>
  <c r="L323" i="25"/>
  <c r="M323" i="25" s="1"/>
  <c r="O315" i="25"/>
  <c r="N315" i="25"/>
  <c r="M315" i="25"/>
  <c r="L315" i="25"/>
  <c r="K315" i="25"/>
  <c r="J312" i="25"/>
  <c r="I312" i="25"/>
  <c r="H312" i="25"/>
  <c r="J310" i="25"/>
  <c r="K327" i="25" s="1"/>
  <c r="I310" i="25"/>
  <c r="H310" i="25"/>
  <c r="K297" i="25"/>
  <c r="K289" i="25"/>
  <c r="K291" i="25" s="1"/>
  <c r="K279" i="25"/>
  <c r="K267" i="25"/>
  <c r="K252" i="25"/>
  <c r="K240" i="25"/>
  <c r="B239" i="25"/>
  <c r="K229" i="25"/>
  <c r="B221" i="25"/>
  <c r="B228" i="25" s="1"/>
  <c r="O216" i="25"/>
  <c r="N216" i="25"/>
  <c r="M216" i="25"/>
  <c r="L216" i="25"/>
  <c r="K216" i="25"/>
  <c r="K215" i="25"/>
  <c r="O211" i="25"/>
  <c r="O192" i="25" s="1"/>
  <c r="N211" i="25"/>
  <c r="N192" i="25" s="1"/>
  <c r="M211" i="25"/>
  <c r="M192" i="25" s="1"/>
  <c r="L211" i="25"/>
  <c r="L192" i="25" s="1"/>
  <c r="K211" i="25"/>
  <c r="K192" i="25" s="1"/>
  <c r="O210" i="25"/>
  <c r="O191" i="25" s="1"/>
  <c r="N210" i="25"/>
  <c r="N191" i="25" s="1"/>
  <c r="M210" i="25"/>
  <c r="M191" i="25" s="1"/>
  <c r="L210" i="25"/>
  <c r="L191" i="25" s="1"/>
  <c r="K210" i="25"/>
  <c r="K191" i="25" s="1"/>
  <c r="O203" i="25"/>
  <c r="O204" i="25" s="1"/>
  <c r="N203" i="25"/>
  <c r="N204" i="25" s="1"/>
  <c r="M203" i="25"/>
  <c r="M204" i="25" s="1"/>
  <c r="M189" i="25" s="1"/>
  <c r="L203" i="25"/>
  <c r="L204" i="25" s="1"/>
  <c r="K203" i="25"/>
  <c r="K204" i="25" s="1"/>
  <c r="B203" i="25"/>
  <c r="B179" i="25"/>
  <c r="B178" i="25"/>
  <c r="B177" i="25"/>
  <c r="B176" i="25"/>
  <c r="B175" i="25"/>
  <c r="B174" i="25"/>
  <c r="B173" i="25"/>
  <c r="B172" i="25"/>
  <c r="J147" i="25"/>
  <c r="J263" i="25" s="1"/>
  <c r="I147" i="25"/>
  <c r="I263" i="25" s="1"/>
  <c r="H147" i="25"/>
  <c r="H263" i="25" s="1"/>
  <c r="B147" i="25"/>
  <c r="B263" i="25" s="1"/>
  <c r="J146" i="25"/>
  <c r="I146" i="25"/>
  <c r="H146" i="25"/>
  <c r="H262" i="25" s="1"/>
  <c r="B146" i="25"/>
  <c r="B262" i="25" s="1"/>
  <c r="J145" i="25"/>
  <c r="J157" i="25" s="1"/>
  <c r="I145" i="25"/>
  <c r="I150" i="25" s="1"/>
  <c r="H145" i="25"/>
  <c r="H150" i="25" s="1"/>
  <c r="B145" i="25"/>
  <c r="B261" i="25" s="1"/>
  <c r="J123" i="25"/>
  <c r="I123" i="25"/>
  <c r="H123" i="25"/>
  <c r="J117" i="25"/>
  <c r="I117" i="25"/>
  <c r="H117" i="25"/>
  <c r="K110" i="25"/>
  <c r="L110" i="25" s="1"/>
  <c r="M110" i="25" s="1"/>
  <c r="N110" i="25" s="1"/>
  <c r="O110" i="25" s="1"/>
  <c r="J107" i="25"/>
  <c r="J112" i="25" s="1"/>
  <c r="I107" i="25"/>
  <c r="I112" i="25" s="1"/>
  <c r="H107" i="25"/>
  <c r="H112" i="25" s="1"/>
  <c r="H101" i="25"/>
  <c r="K165" i="25" s="1"/>
  <c r="K200" i="25" s="1"/>
  <c r="K226" i="25" s="1"/>
  <c r="K250" i="25" s="1"/>
  <c r="J97" i="25"/>
  <c r="I97" i="25"/>
  <c r="H97" i="25"/>
  <c r="J91" i="25"/>
  <c r="I91" i="25"/>
  <c r="H91" i="25"/>
  <c r="J89" i="25"/>
  <c r="I89" i="25"/>
  <c r="J66" i="25"/>
  <c r="J68" i="25" s="1"/>
  <c r="J71" i="25" s="1"/>
  <c r="I66" i="25"/>
  <c r="I90" i="25" s="1"/>
  <c r="H66" i="25"/>
  <c r="H90" i="25" s="1"/>
  <c r="K63" i="25"/>
  <c r="K166" i="25" s="1"/>
  <c r="B50" i="25"/>
  <c r="B49" i="25"/>
  <c r="K36" i="25"/>
  <c r="J27" i="25"/>
  <c r="I27" i="25"/>
  <c r="H27" i="25"/>
  <c r="H25" i="25"/>
  <c r="B20" i="25"/>
  <c r="K121" i="8"/>
  <c r="O177" i="24"/>
  <c r="N177" i="24"/>
  <c r="M177" i="24"/>
  <c r="L177" i="24"/>
  <c r="K177" i="24"/>
  <c r="O177" i="20"/>
  <c r="N177" i="20"/>
  <c r="M177" i="20"/>
  <c r="L177" i="20"/>
  <c r="K177" i="20"/>
  <c r="O177" i="19"/>
  <c r="N177" i="19"/>
  <c r="M177" i="19"/>
  <c r="L177" i="19"/>
  <c r="K177" i="19"/>
  <c r="O177" i="3"/>
  <c r="N177" i="3"/>
  <c r="M177" i="3"/>
  <c r="L177" i="3"/>
  <c r="K177" i="3"/>
  <c r="O178" i="7"/>
  <c r="N178" i="7"/>
  <c r="M178" i="7"/>
  <c r="L178" i="7"/>
  <c r="K178" i="7"/>
  <c r="O177" i="7"/>
  <c r="N177" i="7"/>
  <c r="M177" i="7"/>
  <c r="L177" i="7"/>
  <c r="K177" i="7"/>
  <c r="L178" i="6"/>
  <c r="K178" i="6"/>
  <c r="O177" i="6"/>
  <c r="N177" i="6"/>
  <c r="M177" i="6"/>
  <c r="L177" i="6"/>
  <c r="K177" i="6"/>
  <c r="L178" i="8"/>
  <c r="M178" i="8"/>
  <c r="N178" i="8"/>
  <c r="O178" i="8"/>
  <c r="K178" i="8"/>
  <c r="I349" i="24"/>
  <c r="I348" i="24"/>
  <c r="I346" i="24"/>
  <c r="I345" i="24"/>
  <c r="M344" i="24"/>
  <c r="N344" i="24" s="1"/>
  <c r="K344" i="24"/>
  <c r="J344" i="24"/>
  <c r="K168" i="27" l="1"/>
  <c r="K169" i="27" s="1"/>
  <c r="K27" i="30"/>
  <c r="K93" i="30" s="1"/>
  <c r="K92" i="30"/>
  <c r="K80" i="30" s="1"/>
  <c r="K109" i="30" s="1"/>
  <c r="K110" i="30" s="1"/>
  <c r="L26" i="30"/>
  <c r="L29" i="30" s="1"/>
  <c r="L94" i="30" s="1"/>
  <c r="J33" i="30"/>
  <c r="J44" i="30"/>
  <c r="J46" i="30" s="1"/>
  <c r="J48" i="30" s="1"/>
  <c r="M113" i="30"/>
  <c r="M132" i="30"/>
  <c r="K132" i="30"/>
  <c r="K113" i="30"/>
  <c r="L113" i="30"/>
  <c r="L132" i="30"/>
  <c r="N113" i="30"/>
  <c r="N132" i="30"/>
  <c r="O132" i="30"/>
  <c r="O113" i="30"/>
  <c r="L77" i="30"/>
  <c r="L166" i="30"/>
  <c r="M164" i="30" s="1"/>
  <c r="O199" i="30"/>
  <c r="N204" i="30"/>
  <c r="N199" i="30" s="1"/>
  <c r="O203" i="30"/>
  <c r="O204" i="30" s="1"/>
  <c r="M204" i="30"/>
  <c r="M199" i="30" s="1"/>
  <c r="K168" i="30"/>
  <c r="K169" i="30" s="1"/>
  <c r="I25" i="30"/>
  <c r="J186" i="30"/>
  <c r="L25" i="30"/>
  <c r="K186" i="30"/>
  <c r="K29" i="30"/>
  <c r="K94" i="30" s="1"/>
  <c r="H30" i="30"/>
  <c r="I30" i="30"/>
  <c r="I132" i="28"/>
  <c r="J132" i="28"/>
  <c r="H160" i="28"/>
  <c r="H161" i="28" s="1"/>
  <c r="K274" i="28"/>
  <c r="H112" i="28"/>
  <c r="H142" i="28" s="1"/>
  <c r="J156" i="28"/>
  <c r="K242" i="28"/>
  <c r="K122" i="28" s="1"/>
  <c r="K50" i="28" s="1"/>
  <c r="J68" i="28"/>
  <c r="J82" i="28" s="1"/>
  <c r="J84" i="28" s="1"/>
  <c r="J86" i="28" s="1"/>
  <c r="J29" i="28" s="1"/>
  <c r="J30" i="28" s="1"/>
  <c r="J86" i="27"/>
  <c r="H137" i="26"/>
  <c r="I266" i="26"/>
  <c r="I137" i="25"/>
  <c r="K64" i="28"/>
  <c r="I142" i="28"/>
  <c r="I63" i="28"/>
  <c r="J261" i="28"/>
  <c r="J102" i="28"/>
  <c r="J142" i="28"/>
  <c r="J92" i="28"/>
  <c r="L274" i="28"/>
  <c r="N189" i="28"/>
  <c r="N208" i="28"/>
  <c r="O189" i="28"/>
  <c r="O208" i="28"/>
  <c r="K26" i="28"/>
  <c r="J26" i="28" s="1"/>
  <c r="I26" i="28" s="1"/>
  <c r="H26" i="28" s="1"/>
  <c r="H157" i="28"/>
  <c r="I157" i="28"/>
  <c r="H150" i="28"/>
  <c r="J157" i="28"/>
  <c r="H134" i="28"/>
  <c r="I150" i="28"/>
  <c r="H158" i="28"/>
  <c r="K166" i="28"/>
  <c r="H68" i="28"/>
  <c r="I134" i="28"/>
  <c r="J150" i="28"/>
  <c r="I158" i="28"/>
  <c r="I68" i="28"/>
  <c r="K102" i="28"/>
  <c r="J134" i="28"/>
  <c r="H151" i="28"/>
  <c r="J158" i="28"/>
  <c r="M278" i="28"/>
  <c r="I151" i="28"/>
  <c r="I160" i="28"/>
  <c r="I161" i="28" s="1"/>
  <c r="K201" i="28"/>
  <c r="K261" i="28"/>
  <c r="H152" i="28"/>
  <c r="J160" i="28"/>
  <c r="J161" i="28" s="1"/>
  <c r="K208" i="28"/>
  <c r="L240" i="28"/>
  <c r="K251" i="28"/>
  <c r="I152" i="28"/>
  <c r="J152" i="28"/>
  <c r="M208" i="28"/>
  <c r="K227" i="28"/>
  <c r="L63" i="28"/>
  <c r="K37" i="28"/>
  <c r="H137" i="28"/>
  <c r="H153" i="28"/>
  <c r="I137" i="28"/>
  <c r="J137" i="28"/>
  <c r="L166" i="27"/>
  <c r="M164" i="27" s="1"/>
  <c r="M166" i="27" s="1"/>
  <c r="N164" i="27" s="1"/>
  <c r="M113" i="27"/>
  <c r="M132" i="27"/>
  <c r="H191" i="27"/>
  <c r="L199" i="27"/>
  <c r="J81" i="27"/>
  <c r="K199" i="27"/>
  <c r="K26" i="27"/>
  <c r="I25" i="27"/>
  <c r="J64" i="27"/>
  <c r="J186" i="27"/>
  <c r="K113" i="27"/>
  <c r="K132" i="27"/>
  <c r="L113" i="27"/>
  <c r="L132" i="27"/>
  <c r="M204" i="27"/>
  <c r="M199" i="27" s="1"/>
  <c r="N203" i="27"/>
  <c r="O113" i="27"/>
  <c r="O132" i="27"/>
  <c r="L25" i="27"/>
  <c r="K186" i="27"/>
  <c r="J77" i="27"/>
  <c r="J191" i="27"/>
  <c r="K191" i="27" s="1"/>
  <c r="L191" i="27" s="1"/>
  <c r="M191" i="27" s="1"/>
  <c r="N191" i="27" s="1"/>
  <c r="O191" i="27" s="1"/>
  <c r="H30" i="27"/>
  <c r="K175" i="27"/>
  <c r="I30" i="27"/>
  <c r="K64" i="27"/>
  <c r="J30" i="27"/>
  <c r="K125" i="27"/>
  <c r="K151" i="27"/>
  <c r="N132" i="27"/>
  <c r="K99" i="27"/>
  <c r="H266" i="26"/>
  <c r="I157" i="26"/>
  <c r="J63" i="26"/>
  <c r="J261" i="26" s="1"/>
  <c r="J160" i="26"/>
  <c r="J161" i="26" s="1"/>
  <c r="K37" i="26"/>
  <c r="J137" i="26"/>
  <c r="J156" i="26"/>
  <c r="J134" i="26"/>
  <c r="J128" i="26"/>
  <c r="I158" i="26"/>
  <c r="J266" i="26"/>
  <c r="K266" i="26" s="1"/>
  <c r="L266" i="26" s="1"/>
  <c r="M266" i="26" s="1"/>
  <c r="N266" i="26" s="1"/>
  <c r="O266" i="26" s="1"/>
  <c r="I28" i="26"/>
  <c r="I156" i="26"/>
  <c r="H160" i="26"/>
  <c r="H161" i="26" s="1"/>
  <c r="J28" i="26"/>
  <c r="I128" i="26"/>
  <c r="I142" i="26" s="1"/>
  <c r="K274" i="26"/>
  <c r="I132" i="26"/>
  <c r="H152" i="26"/>
  <c r="L274" i="26"/>
  <c r="I150" i="26"/>
  <c r="H90" i="26"/>
  <c r="H134" i="26"/>
  <c r="I152" i="26"/>
  <c r="I90" i="26"/>
  <c r="I134" i="26"/>
  <c r="J153" i="26"/>
  <c r="H158" i="26"/>
  <c r="J132" i="26"/>
  <c r="J150" i="26"/>
  <c r="L63" i="26"/>
  <c r="K102" i="26"/>
  <c r="K208" i="26"/>
  <c r="H112" i="26"/>
  <c r="J68" i="26"/>
  <c r="J158" i="26"/>
  <c r="K26" i="26"/>
  <c r="J26" i="26" s="1"/>
  <c r="I26" i="26" s="1"/>
  <c r="H26" i="26" s="1"/>
  <c r="J112" i="26"/>
  <c r="H128" i="26"/>
  <c r="H132" i="26"/>
  <c r="K64" i="26"/>
  <c r="L208" i="26"/>
  <c r="L189" i="26"/>
  <c r="M189" i="26"/>
  <c r="M208" i="26"/>
  <c r="N189" i="26"/>
  <c r="N208" i="26"/>
  <c r="O189" i="26"/>
  <c r="O208" i="26"/>
  <c r="I73" i="26"/>
  <c r="I96" i="26"/>
  <c r="H73" i="26"/>
  <c r="H96" i="26"/>
  <c r="H260" i="26"/>
  <c r="H151" i="26"/>
  <c r="K261" i="26"/>
  <c r="I151" i="26"/>
  <c r="J151" i="26"/>
  <c r="I160" i="26"/>
  <c r="I161" i="26" s="1"/>
  <c r="K201" i="26"/>
  <c r="K251" i="26"/>
  <c r="I82" i="26"/>
  <c r="I84" i="26" s="1"/>
  <c r="I86" i="26" s="1"/>
  <c r="J152" i="26"/>
  <c r="K227" i="26"/>
  <c r="H153" i="26"/>
  <c r="I153" i="26"/>
  <c r="K242" i="26"/>
  <c r="M278" i="26"/>
  <c r="H155" i="26"/>
  <c r="I155" i="26"/>
  <c r="J155" i="26"/>
  <c r="H156" i="26"/>
  <c r="H82" i="26"/>
  <c r="H84" i="26" s="1"/>
  <c r="H86" i="26" s="1"/>
  <c r="H157" i="26"/>
  <c r="K64" i="25"/>
  <c r="H137" i="25"/>
  <c r="J137" i="25"/>
  <c r="I134" i="25"/>
  <c r="H132" i="25"/>
  <c r="I132" i="25"/>
  <c r="J132" i="25"/>
  <c r="H134" i="25"/>
  <c r="H311" i="25"/>
  <c r="J134" i="25"/>
  <c r="K37" i="25"/>
  <c r="I311" i="25"/>
  <c r="H158" i="25"/>
  <c r="H157" i="25"/>
  <c r="J128" i="25"/>
  <c r="J142" i="25" s="1"/>
  <c r="I160" i="25"/>
  <c r="I161" i="25" s="1"/>
  <c r="I156" i="25"/>
  <c r="J156" i="25"/>
  <c r="K266" i="25"/>
  <c r="J63" i="25"/>
  <c r="J266" i="25" s="1"/>
  <c r="H152" i="25"/>
  <c r="I153" i="25"/>
  <c r="J90" i="25"/>
  <c r="I128" i="25"/>
  <c r="I142" i="25" s="1"/>
  <c r="K26" i="25"/>
  <c r="J26" i="25" s="1"/>
  <c r="I26" i="25" s="1"/>
  <c r="H26" i="25" s="1"/>
  <c r="J311" i="25"/>
  <c r="K311" i="25" s="1"/>
  <c r="L311" i="25" s="1"/>
  <c r="M311" i="25" s="1"/>
  <c r="N311" i="25" s="1"/>
  <c r="O311" i="25" s="1"/>
  <c r="I28" i="25"/>
  <c r="K319" i="25"/>
  <c r="I158" i="25"/>
  <c r="K189" i="25"/>
  <c r="K208" i="25"/>
  <c r="N208" i="25"/>
  <c r="N189" i="25"/>
  <c r="J153" i="25"/>
  <c r="J28" i="25"/>
  <c r="J158" i="25"/>
  <c r="H160" i="25"/>
  <c r="H161" i="25" s="1"/>
  <c r="I262" i="25"/>
  <c r="L324" i="25"/>
  <c r="L319" i="25" s="1"/>
  <c r="J150" i="25"/>
  <c r="H128" i="25"/>
  <c r="H142" i="25" s="1"/>
  <c r="I152" i="25"/>
  <c r="L189" i="25"/>
  <c r="L208" i="25"/>
  <c r="O189" i="25"/>
  <c r="O208" i="25"/>
  <c r="M324" i="25"/>
  <c r="M319" i="25" s="1"/>
  <c r="N323" i="25"/>
  <c r="H305" i="25"/>
  <c r="H265" i="25"/>
  <c r="H277" i="25"/>
  <c r="H295" i="25"/>
  <c r="H287" i="25"/>
  <c r="L289" i="25"/>
  <c r="L291" i="25" s="1"/>
  <c r="K126" i="25"/>
  <c r="J73" i="25"/>
  <c r="J96" i="25"/>
  <c r="H151" i="25"/>
  <c r="J262" i="25"/>
  <c r="K306" i="25"/>
  <c r="J151" i="25"/>
  <c r="K201" i="25"/>
  <c r="J82" i="25"/>
  <c r="J84" i="25" s="1"/>
  <c r="J86" i="25" s="1"/>
  <c r="J160" i="25"/>
  <c r="J161" i="25" s="1"/>
  <c r="K251" i="25"/>
  <c r="J152" i="25"/>
  <c r="M208" i="25"/>
  <c r="K227" i="25"/>
  <c r="K296" i="25"/>
  <c r="H153" i="25"/>
  <c r="K288" i="25"/>
  <c r="K242" i="25"/>
  <c r="K244" i="25" s="1"/>
  <c r="K245" i="25" s="1"/>
  <c r="I151" i="25"/>
  <c r="L63" i="25"/>
  <c r="H155" i="25"/>
  <c r="H261" i="25"/>
  <c r="I155" i="25"/>
  <c r="I261" i="25"/>
  <c r="J155" i="25"/>
  <c r="J261" i="25"/>
  <c r="H156" i="25"/>
  <c r="K278" i="25"/>
  <c r="H68" i="25"/>
  <c r="I157" i="25"/>
  <c r="I68" i="25"/>
  <c r="K102" i="25"/>
  <c r="O337" i="24"/>
  <c r="O91" i="24" s="1"/>
  <c r="N337" i="24"/>
  <c r="N91" i="24" s="1"/>
  <c r="M337" i="24"/>
  <c r="M91" i="24" s="1"/>
  <c r="L337" i="24"/>
  <c r="L91" i="24" s="1"/>
  <c r="K337" i="24"/>
  <c r="K91" i="24" s="1"/>
  <c r="B337" i="24"/>
  <c r="O331" i="24"/>
  <c r="O90" i="24" s="1"/>
  <c r="N331" i="24"/>
  <c r="N90" i="24" s="1"/>
  <c r="M331" i="24"/>
  <c r="M90" i="24" s="1"/>
  <c r="L331" i="24"/>
  <c r="L90" i="24" s="1"/>
  <c r="K331" i="24"/>
  <c r="K90" i="24" s="1"/>
  <c r="B331" i="24"/>
  <c r="O325" i="24"/>
  <c r="O89" i="24" s="1"/>
  <c r="N325" i="24"/>
  <c r="N89" i="24" s="1"/>
  <c r="M325" i="24"/>
  <c r="M89" i="24" s="1"/>
  <c r="L325" i="24"/>
  <c r="L89" i="24" s="1"/>
  <c r="K325" i="24"/>
  <c r="K89" i="24" s="1"/>
  <c r="B325" i="24"/>
  <c r="B316" i="24"/>
  <c r="M312" i="24"/>
  <c r="L312" i="24"/>
  <c r="K312" i="24"/>
  <c r="K307" i="24" s="1"/>
  <c r="M311" i="24"/>
  <c r="N311" i="24" s="1"/>
  <c r="N312" i="24" s="1"/>
  <c r="N307" i="24" s="1"/>
  <c r="L311" i="24"/>
  <c r="O303" i="24"/>
  <c r="N303" i="24"/>
  <c r="M303" i="24"/>
  <c r="M307" i="24" s="1"/>
  <c r="L303" i="24"/>
  <c r="L307" i="24" s="1"/>
  <c r="K303" i="24"/>
  <c r="J300" i="24"/>
  <c r="I300" i="24"/>
  <c r="I299" i="24" s="1"/>
  <c r="H300" i="24"/>
  <c r="J298" i="24"/>
  <c r="K315" i="24" s="1"/>
  <c r="I298" i="24"/>
  <c r="H298" i="24"/>
  <c r="H299" i="24" s="1"/>
  <c r="K285" i="24"/>
  <c r="K279" i="24"/>
  <c r="L277" i="24" s="1"/>
  <c r="L279" i="24" s="1"/>
  <c r="K277" i="24"/>
  <c r="K267" i="24"/>
  <c r="K255" i="24"/>
  <c r="K240" i="24"/>
  <c r="K228" i="24"/>
  <c r="K230" i="24" s="1"/>
  <c r="B227" i="24"/>
  <c r="K217" i="24"/>
  <c r="B209" i="24"/>
  <c r="B216" i="24" s="1"/>
  <c r="O204" i="24"/>
  <c r="N204" i="24"/>
  <c r="M204" i="24"/>
  <c r="L204" i="24"/>
  <c r="K204" i="24"/>
  <c r="K203" i="24"/>
  <c r="O199" i="24"/>
  <c r="N199" i="24"/>
  <c r="M199" i="24"/>
  <c r="L199" i="24"/>
  <c r="K199" i="24"/>
  <c r="K180" i="24" s="1"/>
  <c r="O198" i="24"/>
  <c r="N198" i="24"/>
  <c r="M198" i="24"/>
  <c r="L198" i="24"/>
  <c r="K198" i="24"/>
  <c r="L192" i="24"/>
  <c r="L196" i="24" s="1"/>
  <c r="O191" i="24"/>
  <c r="O192" i="24" s="1"/>
  <c r="O196" i="24" s="1"/>
  <c r="N191" i="24"/>
  <c r="N192" i="24" s="1"/>
  <c r="N196" i="24" s="1"/>
  <c r="M191" i="24"/>
  <c r="M192" i="24" s="1"/>
  <c r="M196" i="24" s="1"/>
  <c r="L191" i="24"/>
  <c r="K191" i="24"/>
  <c r="K192" i="24" s="1"/>
  <c r="K196" i="24" s="1"/>
  <c r="B191" i="24"/>
  <c r="O180" i="24"/>
  <c r="N180" i="24"/>
  <c r="M180" i="24"/>
  <c r="L180" i="24"/>
  <c r="O179" i="24"/>
  <c r="N179" i="24"/>
  <c r="M179" i="24"/>
  <c r="L179" i="24"/>
  <c r="K179" i="24"/>
  <c r="B167" i="24"/>
  <c r="B166" i="24"/>
  <c r="B165" i="24"/>
  <c r="B164" i="24"/>
  <c r="B163" i="24"/>
  <c r="B162" i="24"/>
  <c r="B161" i="24"/>
  <c r="B160" i="24"/>
  <c r="I148" i="24"/>
  <c r="I149" i="24" s="1"/>
  <c r="J146" i="24"/>
  <c r="J144" i="24"/>
  <c r="I143" i="24"/>
  <c r="J141" i="24"/>
  <c r="H141" i="24"/>
  <c r="I138" i="24"/>
  <c r="J135" i="24"/>
  <c r="J251" i="24" s="1"/>
  <c r="I135" i="24"/>
  <c r="I251" i="24" s="1"/>
  <c r="H135" i="24"/>
  <c r="H251" i="24" s="1"/>
  <c r="B135" i="24"/>
  <c r="B251" i="24" s="1"/>
  <c r="J134" i="24"/>
  <c r="I134" i="24"/>
  <c r="H134" i="24"/>
  <c r="H144" i="24" s="1"/>
  <c r="B134" i="24"/>
  <c r="B250" i="24" s="1"/>
  <c r="J133" i="24"/>
  <c r="J140" i="24" s="1"/>
  <c r="I133" i="24"/>
  <c r="I140" i="24" s="1"/>
  <c r="H133" i="24"/>
  <c r="H138" i="24" s="1"/>
  <c r="B133" i="24"/>
  <c r="B249" i="24" s="1"/>
  <c r="K126" i="24"/>
  <c r="J123" i="24"/>
  <c r="I123" i="24"/>
  <c r="I128" i="24" s="1"/>
  <c r="H123" i="24"/>
  <c r="K122" i="24"/>
  <c r="J117" i="24"/>
  <c r="J128" i="24" s="1"/>
  <c r="I117" i="24"/>
  <c r="H117" i="24"/>
  <c r="H128" i="24" s="1"/>
  <c r="I112" i="24"/>
  <c r="I130" i="24" s="1"/>
  <c r="K110" i="24"/>
  <c r="L110" i="24" s="1"/>
  <c r="M110" i="24" s="1"/>
  <c r="N110" i="24" s="1"/>
  <c r="O110" i="24" s="1"/>
  <c r="J107" i="24"/>
  <c r="I107" i="24"/>
  <c r="H107" i="24"/>
  <c r="H101" i="24"/>
  <c r="K153" i="24" s="1"/>
  <c r="K188" i="24" s="1"/>
  <c r="K214" i="24" s="1"/>
  <c r="K238" i="24" s="1"/>
  <c r="J97" i="24"/>
  <c r="I97" i="24"/>
  <c r="H97" i="24"/>
  <c r="J91" i="24"/>
  <c r="I91" i="24"/>
  <c r="H91" i="24"/>
  <c r="J89" i="24"/>
  <c r="I89" i="24"/>
  <c r="I68" i="24"/>
  <c r="I71" i="24" s="1"/>
  <c r="J66" i="24"/>
  <c r="J90" i="24" s="1"/>
  <c r="I66" i="24"/>
  <c r="I90" i="24" s="1"/>
  <c r="H66" i="24"/>
  <c r="H68" i="24" s="1"/>
  <c r="K63" i="24"/>
  <c r="J63" i="24"/>
  <c r="J102" i="24" s="1"/>
  <c r="K50" i="24"/>
  <c r="B50" i="24"/>
  <c r="B49" i="24"/>
  <c r="K37" i="24"/>
  <c r="K36" i="24"/>
  <c r="J27" i="24"/>
  <c r="I27" i="24"/>
  <c r="I28" i="24" s="1"/>
  <c r="H27" i="24"/>
  <c r="K26" i="24"/>
  <c r="J26" i="24" s="1"/>
  <c r="I26" i="24" s="1"/>
  <c r="H26" i="24" s="1"/>
  <c r="H25" i="24"/>
  <c r="B20" i="24"/>
  <c r="O299" i="22"/>
  <c r="O54" i="22" s="1"/>
  <c r="N299" i="22"/>
  <c r="N54" i="22" s="1"/>
  <c r="M299" i="22"/>
  <c r="M54" i="22" s="1"/>
  <c r="L299" i="22"/>
  <c r="L54" i="22" s="1"/>
  <c r="K299" i="22"/>
  <c r="K54" i="22" s="1"/>
  <c r="B299" i="22"/>
  <c r="O293" i="22"/>
  <c r="O53" i="22" s="1"/>
  <c r="N293" i="22"/>
  <c r="N53" i="22" s="1"/>
  <c r="M293" i="22"/>
  <c r="M53" i="22" s="1"/>
  <c r="L293" i="22"/>
  <c r="L53" i="22" s="1"/>
  <c r="K293" i="22"/>
  <c r="K53" i="22" s="1"/>
  <c r="B293" i="22"/>
  <c r="O287" i="22"/>
  <c r="O52" i="22" s="1"/>
  <c r="N287" i="22"/>
  <c r="N52" i="22" s="1"/>
  <c r="M287" i="22"/>
  <c r="M52" i="22" s="1"/>
  <c r="L287" i="22"/>
  <c r="L52" i="22" s="1"/>
  <c r="K287" i="22"/>
  <c r="K52" i="22" s="1"/>
  <c r="B287" i="22"/>
  <c r="B278" i="22"/>
  <c r="K274" i="22"/>
  <c r="L273" i="22"/>
  <c r="M273" i="22" s="1"/>
  <c r="N273" i="22" s="1"/>
  <c r="O265" i="22"/>
  <c r="N265" i="22"/>
  <c r="M265" i="22"/>
  <c r="L265" i="22"/>
  <c r="K265" i="22"/>
  <c r="J262" i="22"/>
  <c r="J261" i="22" s="1"/>
  <c r="K261" i="22" s="1"/>
  <c r="L261" i="22" s="1"/>
  <c r="M261" i="22" s="1"/>
  <c r="N261" i="22" s="1"/>
  <c r="O261" i="22" s="1"/>
  <c r="I262" i="22"/>
  <c r="H262" i="22"/>
  <c r="J260" i="22"/>
  <c r="K277" i="22" s="1"/>
  <c r="I260" i="22"/>
  <c r="I261" i="22" s="1"/>
  <c r="H260" i="22"/>
  <c r="H261" i="22" s="1"/>
  <c r="K247" i="22"/>
  <c r="K239" i="22"/>
  <c r="K241" i="22" s="1"/>
  <c r="L239" i="22" s="1"/>
  <c r="L241" i="22" s="1"/>
  <c r="M239" i="22" s="1"/>
  <c r="M241" i="22" s="1"/>
  <c r="K229" i="22"/>
  <c r="K217" i="22"/>
  <c r="K202" i="22"/>
  <c r="K190" i="22"/>
  <c r="K192" i="22" s="1"/>
  <c r="L190" i="22" s="1"/>
  <c r="B189" i="22"/>
  <c r="K179" i="22"/>
  <c r="B171" i="22"/>
  <c r="B178" i="22" s="1"/>
  <c r="O166" i="22"/>
  <c r="N166" i="22"/>
  <c r="M166" i="22"/>
  <c r="L166" i="22"/>
  <c r="K166" i="22"/>
  <c r="K165" i="22"/>
  <c r="O161" i="22"/>
  <c r="O142" i="22" s="1"/>
  <c r="N161" i="22"/>
  <c r="N142" i="22" s="1"/>
  <c r="M161" i="22"/>
  <c r="L161" i="22"/>
  <c r="L142" i="22" s="1"/>
  <c r="K161" i="22"/>
  <c r="O160" i="22"/>
  <c r="O141" i="22" s="1"/>
  <c r="N160" i="22"/>
  <c r="N141" i="22" s="1"/>
  <c r="M160" i="22"/>
  <c r="M141" i="22" s="1"/>
  <c r="L160" i="22"/>
  <c r="K160" i="22"/>
  <c r="K141" i="22" s="1"/>
  <c r="O153" i="22"/>
  <c r="N153" i="22"/>
  <c r="N154" i="22" s="1"/>
  <c r="M153" i="22"/>
  <c r="M154" i="22" s="1"/>
  <c r="L153" i="22"/>
  <c r="L154" i="22" s="1"/>
  <c r="K153" i="22"/>
  <c r="B153" i="22"/>
  <c r="M142" i="22"/>
  <c r="K142" i="22"/>
  <c r="L141" i="22"/>
  <c r="B129" i="22"/>
  <c r="B128" i="22"/>
  <c r="B127" i="22"/>
  <c r="B126" i="22"/>
  <c r="B125" i="22"/>
  <c r="B124" i="22"/>
  <c r="B123" i="22"/>
  <c r="B122" i="22"/>
  <c r="J98" i="22"/>
  <c r="J213" i="22" s="1"/>
  <c r="I98" i="22"/>
  <c r="I213" i="22" s="1"/>
  <c r="H98" i="22"/>
  <c r="H213" i="22" s="1"/>
  <c r="B98" i="22"/>
  <c r="B213" i="22" s="1"/>
  <c r="J97" i="22"/>
  <c r="I97" i="22"/>
  <c r="I107" i="22" s="1"/>
  <c r="H97" i="22"/>
  <c r="H106" i="22" s="1"/>
  <c r="B97" i="22"/>
  <c r="B212" i="22" s="1"/>
  <c r="J96" i="22"/>
  <c r="J103" i="22" s="1"/>
  <c r="I96" i="22"/>
  <c r="I101" i="22" s="1"/>
  <c r="H96" i="22"/>
  <c r="H211" i="22" s="1"/>
  <c r="H233" i="22" s="1"/>
  <c r="B96" i="22"/>
  <c r="B211" i="22" s="1"/>
  <c r="J86" i="22"/>
  <c r="I86" i="22"/>
  <c r="H86" i="22"/>
  <c r="J80" i="22"/>
  <c r="J91" i="22" s="1"/>
  <c r="I80" i="22"/>
  <c r="I91" i="22" s="1"/>
  <c r="H80" i="22"/>
  <c r="H91" i="22" s="1"/>
  <c r="K73" i="22"/>
  <c r="L73" i="22" s="1"/>
  <c r="M73" i="22" s="1"/>
  <c r="N73" i="22" s="1"/>
  <c r="O73" i="22" s="1"/>
  <c r="J70" i="22"/>
  <c r="J75" i="22" s="1"/>
  <c r="I70" i="22"/>
  <c r="H70" i="22"/>
  <c r="H64" i="22"/>
  <c r="K116" i="22" s="1"/>
  <c r="K150" i="22" s="1"/>
  <c r="K176" i="22" s="1"/>
  <c r="K200" i="22" s="1"/>
  <c r="H215" i="22" s="1"/>
  <c r="J60" i="22"/>
  <c r="I60" i="22"/>
  <c r="H60" i="22"/>
  <c r="J54" i="22"/>
  <c r="I54" i="22"/>
  <c r="H54" i="22"/>
  <c r="J52" i="22"/>
  <c r="I52" i="22"/>
  <c r="H31" i="22"/>
  <c r="H45" i="22" s="1"/>
  <c r="H47" i="22" s="1"/>
  <c r="H49" i="22" s="1"/>
  <c r="J29" i="22"/>
  <c r="J31" i="22" s="1"/>
  <c r="I29" i="22"/>
  <c r="I31" i="22" s="1"/>
  <c r="H29" i="22"/>
  <c r="H53" i="22" s="1"/>
  <c r="K26" i="22"/>
  <c r="K201" i="22" s="1"/>
  <c r="B20" i="22"/>
  <c r="B325" i="20"/>
  <c r="B331" i="20"/>
  <c r="B337" i="20"/>
  <c r="O199" i="6"/>
  <c r="N199" i="6"/>
  <c r="M199" i="6"/>
  <c r="L199" i="6"/>
  <c r="K199" i="6"/>
  <c r="O198" i="6"/>
  <c r="N198" i="6"/>
  <c r="M198" i="6"/>
  <c r="L198" i="6"/>
  <c r="K198" i="6"/>
  <c r="O180" i="7"/>
  <c r="N180" i="7"/>
  <c r="M180" i="7"/>
  <c r="L180" i="7"/>
  <c r="O179" i="7"/>
  <c r="N179" i="7"/>
  <c r="M179" i="7"/>
  <c r="L179" i="7"/>
  <c r="K180" i="7"/>
  <c r="K179" i="7"/>
  <c r="O199" i="7"/>
  <c r="N199" i="7"/>
  <c r="M199" i="7"/>
  <c r="L199" i="7"/>
  <c r="K199" i="7"/>
  <c r="O198" i="7"/>
  <c r="N198" i="7"/>
  <c r="M198" i="7"/>
  <c r="L198" i="7"/>
  <c r="K198" i="7"/>
  <c r="O199" i="8"/>
  <c r="N199" i="8"/>
  <c r="M199" i="8"/>
  <c r="M180" i="8" s="1"/>
  <c r="L199" i="8"/>
  <c r="K199" i="8"/>
  <c r="O198" i="8"/>
  <c r="N198" i="8"/>
  <c r="M198" i="8"/>
  <c r="L198" i="8"/>
  <c r="K198" i="8"/>
  <c r="K180" i="14"/>
  <c r="L180" i="14"/>
  <c r="M180" i="14"/>
  <c r="N180" i="14"/>
  <c r="O180" i="14"/>
  <c r="L179" i="14"/>
  <c r="M179" i="14"/>
  <c r="N179" i="14"/>
  <c r="O179" i="14"/>
  <c r="K179" i="14"/>
  <c r="O199" i="9"/>
  <c r="N199" i="9"/>
  <c r="M199" i="9"/>
  <c r="L199" i="9"/>
  <c r="K199" i="9"/>
  <c r="O198" i="9"/>
  <c r="N198" i="9"/>
  <c r="M198" i="9"/>
  <c r="M179" i="9" s="1"/>
  <c r="L198" i="9"/>
  <c r="K198" i="9"/>
  <c r="L199" i="14"/>
  <c r="M199" i="14"/>
  <c r="N199" i="14"/>
  <c r="O199" i="14"/>
  <c r="K199" i="14"/>
  <c r="L198" i="14"/>
  <c r="M198" i="14"/>
  <c r="N198" i="14"/>
  <c r="O198" i="14"/>
  <c r="K198" i="14"/>
  <c r="O337" i="20"/>
  <c r="O91" i="20" s="1"/>
  <c r="N337" i="20"/>
  <c r="N91" i="20" s="1"/>
  <c r="M337" i="20"/>
  <c r="M91" i="20" s="1"/>
  <c r="L337" i="20"/>
  <c r="L91" i="20" s="1"/>
  <c r="K337" i="20"/>
  <c r="K91" i="20" s="1"/>
  <c r="O331" i="20"/>
  <c r="O90" i="20" s="1"/>
  <c r="N331" i="20"/>
  <c r="N90" i="20" s="1"/>
  <c r="M331" i="20"/>
  <c r="M90" i="20" s="1"/>
  <c r="L331" i="20"/>
  <c r="L90" i="20" s="1"/>
  <c r="K331" i="20"/>
  <c r="K90" i="20" s="1"/>
  <c r="O325" i="20"/>
  <c r="O89" i="20" s="1"/>
  <c r="N325" i="20"/>
  <c r="N89" i="20" s="1"/>
  <c r="M325" i="20"/>
  <c r="M89" i="20" s="1"/>
  <c r="L325" i="20"/>
  <c r="L89" i="20" s="1"/>
  <c r="K325" i="20"/>
  <c r="K89" i="20" s="1"/>
  <c r="B316" i="20"/>
  <c r="K312" i="20"/>
  <c r="L311" i="20"/>
  <c r="M311" i="20" s="1"/>
  <c r="O303" i="20"/>
  <c r="N303" i="20"/>
  <c r="M303" i="20"/>
  <c r="L303" i="20"/>
  <c r="K303" i="20"/>
  <c r="K307" i="20" s="1"/>
  <c r="J300" i="20"/>
  <c r="I300" i="20"/>
  <c r="H300" i="20"/>
  <c r="J298" i="20"/>
  <c r="J299" i="20" s="1"/>
  <c r="K299" i="20" s="1"/>
  <c r="L299" i="20" s="1"/>
  <c r="M299" i="20" s="1"/>
  <c r="N299" i="20" s="1"/>
  <c r="O299" i="20" s="1"/>
  <c r="I298" i="20"/>
  <c r="I299" i="20" s="1"/>
  <c r="H298" i="20"/>
  <c r="H299" i="20" s="1"/>
  <c r="K285" i="20"/>
  <c r="K277" i="20"/>
  <c r="K279" i="20" s="1"/>
  <c r="K267" i="20"/>
  <c r="K255" i="20"/>
  <c r="K240" i="20"/>
  <c r="K228" i="20"/>
  <c r="K230" i="20" s="1"/>
  <c r="B227" i="20"/>
  <c r="K217" i="20"/>
  <c r="B209" i="20"/>
  <c r="B216" i="20" s="1"/>
  <c r="O204" i="20"/>
  <c r="N204" i="20"/>
  <c r="M204" i="20"/>
  <c r="L204" i="20"/>
  <c r="K204" i="20"/>
  <c r="K203" i="20"/>
  <c r="O199" i="20"/>
  <c r="O180" i="20" s="1"/>
  <c r="N199" i="20"/>
  <c r="N180" i="20" s="1"/>
  <c r="M199" i="20"/>
  <c r="M180" i="20" s="1"/>
  <c r="L199" i="20"/>
  <c r="L180" i="20" s="1"/>
  <c r="K199" i="20"/>
  <c r="K180" i="20" s="1"/>
  <c r="O198" i="20"/>
  <c r="O179" i="20" s="1"/>
  <c r="N198" i="20"/>
  <c r="N179" i="20" s="1"/>
  <c r="M198" i="20"/>
  <c r="M179" i="20" s="1"/>
  <c r="L198" i="20"/>
  <c r="L179" i="20" s="1"/>
  <c r="K198" i="20"/>
  <c r="K179" i="20" s="1"/>
  <c r="O191" i="20"/>
  <c r="N191" i="20"/>
  <c r="M191" i="20"/>
  <c r="M192" i="20" s="1"/>
  <c r="M196" i="20" s="1"/>
  <c r="L191" i="20"/>
  <c r="K191" i="20"/>
  <c r="B191" i="20"/>
  <c r="B167" i="20"/>
  <c r="B166" i="20"/>
  <c r="B165" i="20"/>
  <c r="B164" i="20"/>
  <c r="B163" i="20"/>
  <c r="B162" i="20"/>
  <c r="B161" i="20"/>
  <c r="B160" i="20"/>
  <c r="J135" i="20"/>
  <c r="J251" i="20" s="1"/>
  <c r="I135" i="20"/>
  <c r="I251" i="20" s="1"/>
  <c r="H135" i="20"/>
  <c r="H251" i="20" s="1"/>
  <c r="B135" i="20"/>
  <c r="B251" i="20" s="1"/>
  <c r="J134" i="20"/>
  <c r="J143" i="20" s="1"/>
  <c r="I134" i="20"/>
  <c r="I139" i="20" s="1"/>
  <c r="H134" i="20"/>
  <c r="H143" i="20" s="1"/>
  <c r="B134" i="20"/>
  <c r="B250" i="20" s="1"/>
  <c r="J133" i="20"/>
  <c r="J249" i="20" s="1"/>
  <c r="I133" i="20"/>
  <c r="I249" i="20" s="1"/>
  <c r="H133" i="20"/>
  <c r="H249" i="20" s="1"/>
  <c r="B133" i="20"/>
  <c r="B249" i="20" s="1"/>
  <c r="J123" i="20"/>
  <c r="I123" i="20"/>
  <c r="H123" i="20"/>
  <c r="J117" i="20"/>
  <c r="I117" i="20"/>
  <c r="H117" i="20"/>
  <c r="K110" i="20"/>
  <c r="L110" i="20" s="1"/>
  <c r="M110" i="20" s="1"/>
  <c r="N110" i="20" s="1"/>
  <c r="O110" i="20" s="1"/>
  <c r="J107" i="20"/>
  <c r="J112" i="20" s="1"/>
  <c r="I107" i="20"/>
  <c r="I112" i="20" s="1"/>
  <c r="H107" i="20"/>
  <c r="H112" i="20" s="1"/>
  <c r="H101" i="20"/>
  <c r="K153" i="20" s="1"/>
  <c r="K188" i="20" s="1"/>
  <c r="K214" i="20" s="1"/>
  <c r="K238" i="20" s="1"/>
  <c r="J97" i="20"/>
  <c r="I97" i="20"/>
  <c r="H97" i="20"/>
  <c r="J91" i="20"/>
  <c r="I91" i="20"/>
  <c r="H91" i="20"/>
  <c r="J89" i="20"/>
  <c r="I89" i="20"/>
  <c r="J66" i="20"/>
  <c r="J90" i="20" s="1"/>
  <c r="I66" i="20"/>
  <c r="I90" i="20" s="1"/>
  <c r="H66" i="20"/>
  <c r="H90" i="20" s="1"/>
  <c r="K63" i="20"/>
  <c r="L63" i="20" s="1"/>
  <c r="B50" i="20"/>
  <c r="B49" i="20"/>
  <c r="K36" i="20"/>
  <c r="J27" i="20"/>
  <c r="I27" i="20"/>
  <c r="H27" i="20"/>
  <c r="H25" i="20"/>
  <c r="B20" i="20"/>
  <c r="B316" i="19"/>
  <c r="L312" i="19"/>
  <c r="L307" i="19" s="1"/>
  <c r="K312" i="19"/>
  <c r="K307" i="19" s="1"/>
  <c r="L311" i="19"/>
  <c r="M311" i="19" s="1"/>
  <c r="O303" i="19"/>
  <c r="N303" i="19"/>
  <c r="M303" i="19"/>
  <c r="L303" i="19"/>
  <c r="K303" i="19"/>
  <c r="J300" i="19"/>
  <c r="I300" i="19"/>
  <c r="H300" i="19"/>
  <c r="J298" i="19"/>
  <c r="J299" i="19" s="1"/>
  <c r="K299" i="19" s="1"/>
  <c r="L299" i="19" s="1"/>
  <c r="M299" i="19" s="1"/>
  <c r="N299" i="19" s="1"/>
  <c r="O299" i="19" s="1"/>
  <c r="I298" i="19"/>
  <c r="I299" i="19" s="1"/>
  <c r="H298" i="19"/>
  <c r="H299" i="19" s="1"/>
  <c r="K285" i="19"/>
  <c r="K284" i="19"/>
  <c r="K279" i="19"/>
  <c r="K126" i="19" s="1"/>
  <c r="L277" i="19"/>
  <c r="L279" i="19" s="1"/>
  <c r="K277" i="19"/>
  <c r="K276" i="19"/>
  <c r="J276" i="19"/>
  <c r="K267" i="19"/>
  <c r="K255" i="19"/>
  <c r="B251" i="19"/>
  <c r="K240" i="19"/>
  <c r="K228" i="19"/>
  <c r="K230" i="19" s="1"/>
  <c r="B227" i="19"/>
  <c r="K217" i="19"/>
  <c r="K215" i="19"/>
  <c r="B209" i="19"/>
  <c r="B216" i="19" s="1"/>
  <c r="O204" i="19"/>
  <c r="N204" i="19"/>
  <c r="M204" i="19"/>
  <c r="L204" i="19"/>
  <c r="K204" i="19"/>
  <c r="K203" i="19"/>
  <c r="O199" i="19"/>
  <c r="N199" i="19"/>
  <c r="N180" i="19" s="1"/>
  <c r="M199" i="19"/>
  <c r="M180" i="19" s="1"/>
  <c r="L199" i="19"/>
  <c r="K199" i="19"/>
  <c r="O198" i="19"/>
  <c r="O179" i="19" s="1"/>
  <c r="N198" i="19"/>
  <c r="N179" i="19" s="1"/>
  <c r="M198" i="19"/>
  <c r="M179" i="19" s="1"/>
  <c r="L198" i="19"/>
  <c r="L179" i="19" s="1"/>
  <c r="K198" i="19"/>
  <c r="N196" i="19"/>
  <c r="N192" i="19"/>
  <c r="M192" i="19"/>
  <c r="M196" i="19" s="1"/>
  <c r="L192" i="19"/>
  <c r="L196" i="19" s="1"/>
  <c r="K192" i="19"/>
  <c r="K196" i="19" s="1"/>
  <c r="O191" i="19"/>
  <c r="N191" i="19"/>
  <c r="M191" i="19"/>
  <c r="L191" i="19"/>
  <c r="K191" i="19"/>
  <c r="B191" i="19"/>
  <c r="O180" i="19"/>
  <c r="L180" i="19"/>
  <c r="K180" i="19"/>
  <c r="K179" i="19"/>
  <c r="B167" i="19"/>
  <c r="B166" i="19"/>
  <c r="B165" i="19"/>
  <c r="B164" i="19"/>
  <c r="B163" i="19"/>
  <c r="B162" i="19"/>
  <c r="B161" i="19"/>
  <c r="B160" i="19"/>
  <c r="H146" i="19"/>
  <c r="H145" i="19"/>
  <c r="J144" i="19"/>
  <c r="I144" i="19"/>
  <c r="H144" i="19"/>
  <c r="I143" i="19"/>
  <c r="H141" i="19"/>
  <c r="J140" i="19"/>
  <c r="H138" i="19"/>
  <c r="J135" i="19"/>
  <c r="J251" i="19" s="1"/>
  <c r="I135" i="19"/>
  <c r="I251" i="19" s="1"/>
  <c r="H135" i="19"/>
  <c r="H251" i="19" s="1"/>
  <c r="B135" i="19"/>
  <c r="J134" i="19"/>
  <c r="J143" i="19" s="1"/>
  <c r="I134" i="19"/>
  <c r="I139" i="19" s="1"/>
  <c r="H134" i="19"/>
  <c r="H143" i="19" s="1"/>
  <c r="B134" i="19"/>
  <c r="B250" i="19" s="1"/>
  <c r="J133" i="19"/>
  <c r="J249" i="19" s="1"/>
  <c r="I133" i="19"/>
  <c r="I249" i="19" s="1"/>
  <c r="H133" i="19"/>
  <c r="H249" i="19" s="1"/>
  <c r="B133" i="19"/>
  <c r="B249" i="19" s="1"/>
  <c r="J128" i="19"/>
  <c r="H128" i="19"/>
  <c r="J123" i="19"/>
  <c r="I123" i="19"/>
  <c r="I128" i="19" s="1"/>
  <c r="H123" i="19"/>
  <c r="J117" i="19"/>
  <c r="I117" i="19"/>
  <c r="H117" i="19"/>
  <c r="I112" i="19"/>
  <c r="H112" i="19"/>
  <c r="H130" i="19" s="1"/>
  <c r="K110" i="19"/>
  <c r="L110" i="19" s="1"/>
  <c r="M110" i="19" s="1"/>
  <c r="N110" i="19" s="1"/>
  <c r="O110" i="19" s="1"/>
  <c r="J107" i="19"/>
  <c r="J112" i="19" s="1"/>
  <c r="J130" i="19" s="1"/>
  <c r="I107" i="19"/>
  <c r="I148" i="19" s="1"/>
  <c r="I149" i="19" s="1"/>
  <c r="H107" i="19"/>
  <c r="H148" i="19" s="1"/>
  <c r="H149" i="19" s="1"/>
  <c r="J102" i="19"/>
  <c r="H101" i="19"/>
  <c r="K153" i="19" s="1"/>
  <c r="K188" i="19" s="1"/>
  <c r="K214" i="19" s="1"/>
  <c r="K238" i="19" s="1"/>
  <c r="J97" i="19"/>
  <c r="I97" i="19"/>
  <c r="H97" i="19"/>
  <c r="K91" i="19"/>
  <c r="L91" i="19" s="1"/>
  <c r="M91" i="19" s="1"/>
  <c r="N91" i="19" s="1"/>
  <c r="O91" i="19" s="1"/>
  <c r="J91" i="19"/>
  <c r="I91" i="19"/>
  <c r="H91" i="19"/>
  <c r="J89" i="19"/>
  <c r="I89" i="19"/>
  <c r="H71" i="19"/>
  <c r="H73" i="19" s="1"/>
  <c r="H68" i="19"/>
  <c r="H82" i="19" s="1"/>
  <c r="H84" i="19" s="1"/>
  <c r="H86" i="19" s="1"/>
  <c r="K67" i="19"/>
  <c r="K135" i="19" s="1"/>
  <c r="K251" i="19" s="1"/>
  <c r="J66" i="19"/>
  <c r="J90" i="19" s="1"/>
  <c r="K90" i="19" s="1"/>
  <c r="L90" i="19" s="1"/>
  <c r="M90" i="19" s="1"/>
  <c r="N90" i="19" s="1"/>
  <c r="O90" i="19" s="1"/>
  <c r="I66" i="19"/>
  <c r="I90" i="19" s="1"/>
  <c r="H66" i="19"/>
  <c r="H90" i="19" s="1"/>
  <c r="L64" i="19"/>
  <c r="K64" i="19"/>
  <c r="K63" i="19"/>
  <c r="L63" i="19" s="1"/>
  <c r="J63" i="19"/>
  <c r="I63" i="19" s="1"/>
  <c r="B50" i="19"/>
  <c r="B49" i="19"/>
  <c r="K37" i="19"/>
  <c r="K36" i="19"/>
  <c r="J28" i="19"/>
  <c r="I28" i="19"/>
  <c r="J27" i="19"/>
  <c r="I27" i="19"/>
  <c r="H27" i="19"/>
  <c r="K26" i="19"/>
  <c r="J26" i="19" s="1"/>
  <c r="I26" i="19" s="1"/>
  <c r="H26" i="19" s="1"/>
  <c r="H25" i="19"/>
  <c r="B20" i="19"/>
  <c r="B316" i="18"/>
  <c r="K285" i="18"/>
  <c r="K279" i="18"/>
  <c r="K126" i="18" s="1"/>
  <c r="L277" i="18"/>
  <c r="L279" i="18" s="1"/>
  <c r="K277" i="18"/>
  <c r="K267" i="18"/>
  <c r="K255" i="18"/>
  <c r="K240" i="18"/>
  <c r="K228" i="18"/>
  <c r="K230" i="18" s="1"/>
  <c r="B227" i="18"/>
  <c r="K217" i="18"/>
  <c r="B209" i="18"/>
  <c r="B216" i="18" s="1"/>
  <c r="O204" i="18"/>
  <c r="N204" i="18"/>
  <c r="M204" i="18"/>
  <c r="L204" i="18"/>
  <c r="K204" i="18"/>
  <c r="K203" i="18"/>
  <c r="O199" i="18"/>
  <c r="O180" i="18" s="1"/>
  <c r="N199" i="18"/>
  <c r="N180" i="18" s="1"/>
  <c r="M199" i="18"/>
  <c r="M180" i="18" s="1"/>
  <c r="L199" i="18"/>
  <c r="K199" i="18"/>
  <c r="O198" i="18"/>
  <c r="O179" i="18" s="1"/>
  <c r="N198" i="18"/>
  <c r="N179" i="18" s="1"/>
  <c r="M198" i="18"/>
  <c r="M179" i="18" s="1"/>
  <c r="L198" i="18"/>
  <c r="L179" i="18" s="1"/>
  <c r="K198" i="18"/>
  <c r="K179" i="18" s="1"/>
  <c r="M192" i="18"/>
  <c r="O191" i="18"/>
  <c r="N191" i="18"/>
  <c r="N192" i="18" s="1"/>
  <c r="M191" i="18"/>
  <c r="L191" i="18"/>
  <c r="L192" i="18" s="1"/>
  <c r="K191" i="18"/>
  <c r="K192" i="18" s="1"/>
  <c r="B191" i="18"/>
  <c r="L180" i="18"/>
  <c r="K180" i="18"/>
  <c r="B167" i="18"/>
  <c r="B166" i="18"/>
  <c r="B165" i="18"/>
  <c r="B164" i="18"/>
  <c r="B163" i="18"/>
  <c r="B162" i="18"/>
  <c r="B161" i="18"/>
  <c r="B160" i="18"/>
  <c r="H146" i="18"/>
  <c r="I144" i="18"/>
  <c r="H144" i="18"/>
  <c r="J135" i="18"/>
  <c r="J251" i="18" s="1"/>
  <c r="I135" i="18"/>
  <c r="I251" i="18" s="1"/>
  <c r="H135" i="18"/>
  <c r="H251" i="18" s="1"/>
  <c r="B135" i="18"/>
  <c r="B251" i="18" s="1"/>
  <c r="J134" i="18"/>
  <c r="J143" i="18" s="1"/>
  <c r="I134" i="18"/>
  <c r="I143" i="18" s="1"/>
  <c r="H134" i="18"/>
  <c r="H143" i="18" s="1"/>
  <c r="B134" i="18"/>
  <c r="B250" i="18" s="1"/>
  <c r="J133" i="18"/>
  <c r="J249" i="18" s="1"/>
  <c r="I133" i="18"/>
  <c r="I249" i="18" s="1"/>
  <c r="H133" i="18"/>
  <c r="H249" i="18" s="1"/>
  <c r="B133" i="18"/>
  <c r="B249" i="18" s="1"/>
  <c r="H128" i="18"/>
  <c r="J123" i="18"/>
  <c r="I123" i="18"/>
  <c r="I128" i="18" s="1"/>
  <c r="H123" i="18"/>
  <c r="J117" i="18"/>
  <c r="J128" i="18" s="1"/>
  <c r="I117" i="18"/>
  <c r="H117" i="18"/>
  <c r="I112" i="18"/>
  <c r="L110" i="18"/>
  <c r="M110" i="18" s="1"/>
  <c r="N110" i="18" s="1"/>
  <c r="O110" i="18" s="1"/>
  <c r="K110" i="18"/>
  <c r="J107" i="18"/>
  <c r="J112" i="18" s="1"/>
  <c r="I107" i="18"/>
  <c r="I148" i="18" s="1"/>
  <c r="H107" i="18"/>
  <c r="H112" i="18" s="1"/>
  <c r="H101" i="18"/>
  <c r="K153" i="18" s="1"/>
  <c r="K188" i="18" s="1"/>
  <c r="K214" i="18" s="1"/>
  <c r="K238" i="18" s="1"/>
  <c r="J97" i="18"/>
  <c r="I97" i="18"/>
  <c r="H97" i="18"/>
  <c r="K91" i="18"/>
  <c r="L91" i="18" s="1"/>
  <c r="M91" i="18" s="1"/>
  <c r="N91" i="18" s="1"/>
  <c r="O91" i="18" s="1"/>
  <c r="J91" i="18"/>
  <c r="I91" i="18"/>
  <c r="H91" i="18"/>
  <c r="J89" i="18"/>
  <c r="I89" i="18"/>
  <c r="J66" i="18"/>
  <c r="J90" i="18" s="1"/>
  <c r="K90" i="18" s="1"/>
  <c r="L90" i="18" s="1"/>
  <c r="M90" i="18" s="1"/>
  <c r="N90" i="18" s="1"/>
  <c r="O90" i="18" s="1"/>
  <c r="I66" i="18"/>
  <c r="I68" i="18" s="1"/>
  <c r="H66" i="18"/>
  <c r="H90" i="18" s="1"/>
  <c r="K64" i="18"/>
  <c r="K63" i="18"/>
  <c r="K284" i="18" s="1"/>
  <c r="B50" i="18"/>
  <c r="B49" i="18"/>
  <c r="K37" i="18"/>
  <c r="K36" i="18"/>
  <c r="H25" i="18"/>
  <c r="B20" i="18"/>
  <c r="B50" i="3"/>
  <c r="B49" i="3"/>
  <c r="B50" i="17"/>
  <c r="B49" i="17"/>
  <c r="B50" i="16"/>
  <c r="B49" i="16"/>
  <c r="B50" i="15"/>
  <c r="B49" i="15"/>
  <c r="B50" i="13"/>
  <c r="B49" i="13"/>
  <c r="B50" i="12"/>
  <c r="B49" i="12"/>
  <c r="B50" i="11"/>
  <c r="B49" i="11"/>
  <c r="B50" i="10"/>
  <c r="B49" i="10"/>
  <c r="B50" i="14"/>
  <c r="B49" i="14"/>
  <c r="B50" i="9"/>
  <c r="B49" i="9"/>
  <c r="B50" i="8"/>
  <c r="B49" i="8"/>
  <c r="B50" i="7"/>
  <c r="B49" i="7"/>
  <c r="B50" i="6"/>
  <c r="B49" i="6"/>
  <c r="B50" i="5"/>
  <c r="B49" i="5"/>
  <c r="O37" i="17"/>
  <c r="N37" i="17"/>
  <c r="M37" i="17"/>
  <c r="L37" i="17"/>
  <c r="K37" i="17"/>
  <c r="K36" i="17"/>
  <c r="O37" i="16"/>
  <c r="N37" i="16"/>
  <c r="M37" i="16"/>
  <c r="L37" i="16"/>
  <c r="K37" i="16"/>
  <c r="K36" i="16"/>
  <c r="O37" i="15"/>
  <c r="N37" i="15"/>
  <c r="M37" i="15"/>
  <c r="L37" i="15"/>
  <c r="K37" i="15"/>
  <c r="K36" i="15"/>
  <c r="O37" i="13"/>
  <c r="N37" i="13"/>
  <c r="M37" i="13"/>
  <c r="L37" i="13"/>
  <c r="K37" i="13"/>
  <c r="K36" i="13"/>
  <c r="O37" i="12"/>
  <c r="N37" i="12"/>
  <c r="M37" i="12"/>
  <c r="L37" i="12"/>
  <c r="K37" i="12"/>
  <c r="K36" i="12"/>
  <c r="O37" i="11"/>
  <c r="N37" i="11"/>
  <c r="M37" i="11"/>
  <c r="L37" i="11"/>
  <c r="K37" i="11"/>
  <c r="K36" i="11"/>
  <c r="O37" i="10"/>
  <c r="N37" i="10"/>
  <c r="M37" i="10"/>
  <c r="L37" i="10"/>
  <c r="K37" i="10"/>
  <c r="K36" i="10"/>
  <c r="O37" i="14"/>
  <c r="N37" i="14"/>
  <c r="M37" i="14"/>
  <c r="L37" i="14"/>
  <c r="K37" i="14"/>
  <c r="K36" i="14"/>
  <c r="O37" i="9"/>
  <c r="N37" i="9"/>
  <c r="M37" i="9"/>
  <c r="L37" i="9"/>
  <c r="K37" i="9"/>
  <c r="K36" i="9"/>
  <c r="O37" i="8"/>
  <c r="N37" i="8"/>
  <c r="M37" i="8"/>
  <c r="L37" i="8"/>
  <c r="K37" i="8"/>
  <c r="K36" i="8"/>
  <c r="O37" i="7"/>
  <c r="N37" i="7"/>
  <c r="M37" i="7"/>
  <c r="L37" i="7"/>
  <c r="K37" i="7"/>
  <c r="K36" i="7"/>
  <c r="O37" i="6"/>
  <c r="N37" i="6"/>
  <c r="M37" i="6"/>
  <c r="L37" i="6"/>
  <c r="K37" i="6"/>
  <c r="K36" i="6"/>
  <c r="K36" i="5"/>
  <c r="K36" i="4"/>
  <c r="B316" i="17"/>
  <c r="H249" i="17"/>
  <c r="B227" i="17"/>
  <c r="B209" i="17"/>
  <c r="B216" i="17" s="1"/>
  <c r="B191" i="17"/>
  <c r="B167" i="17"/>
  <c r="B166" i="17"/>
  <c r="B165" i="17"/>
  <c r="B164" i="17"/>
  <c r="B163" i="17"/>
  <c r="B162" i="17"/>
  <c r="B161" i="17"/>
  <c r="B160" i="17"/>
  <c r="O135" i="17"/>
  <c r="O251" i="17" s="1"/>
  <c r="N135" i="17"/>
  <c r="N251" i="17" s="1"/>
  <c r="M135" i="17"/>
  <c r="M251" i="17" s="1"/>
  <c r="L135" i="17"/>
  <c r="L251" i="17" s="1"/>
  <c r="K135" i="17"/>
  <c r="K251" i="17" s="1"/>
  <c r="J135" i="17"/>
  <c r="J251" i="17" s="1"/>
  <c r="I135" i="17"/>
  <c r="I251" i="17" s="1"/>
  <c r="H135" i="17"/>
  <c r="H251" i="17" s="1"/>
  <c r="B135" i="17"/>
  <c r="B251" i="17" s="1"/>
  <c r="O134" i="17"/>
  <c r="O250" i="17" s="1"/>
  <c r="N134" i="17"/>
  <c r="N250" i="17" s="1"/>
  <c r="M134" i="17"/>
  <c r="M250" i="17" s="1"/>
  <c r="L134" i="17"/>
  <c r="L250" i="17" s="1"/>
  <c r="K134" i="17"/>
  <c r="K250" i="17" s="1"/>
  <c r="J134" i="17"/>
  <c r="J250" i="17" s="1"/>
  <c r="I134" i="17"/>
  <c r="I250" i="17" s="1"/>
  <c r="H134" i="17"/>
  <c r="H250" i="17" s="1"/>
  <c r="B134" i="17"/>
  <c r="B250" i="17" s="1"/>
  <c r="O133" i="17"/>
  <c r="O249" i="17" s="1"/>
  <c r="N133" i="17"/>
  <c r="N249" i="17" s="1"/>
  <c r="M133" i="17"/>
  <c r="M249" i="17" s="1"/>
  <c r="L133" i="17"/>
  <c r="L249" i="17" s="1"/>
  <c r="K133" i="17"/>
  <c r="K249" i="17" s="1"/>
  <c r="J133" i="17"/>
  <c r="I133" i="17"/>
  <c r="H133" i="17"/>
  <c r="B133" i="17"/>
  <c r="B249" i="17" s="1"/>
  <c r="H101" i="17"/>
  <c r="K153" i="17" s="1"/>
  <c r="K188" i="17" s="1"/>
  <c r="K214" i="17" s="1"/>
  <c r="K238" i="17" s="1"/>
  <c r="K63" i="17"/>
  <c r="K266" i="17" s="1"/>
  <c r="H25" i="17"/>
  <c r="B20" i="17"/>
  <c r="B316" i="16"/>
  <c r="K284" i="16"/>
  <c r="J251" i="16"/>
  <c r="J250" i="16"/>
  <c r="B227" i="16"/>
  <c r="B209" i="16"/>
  <c r="B216" i="16" s="1"/>
  <c r="B191" i="16"/>
  <c r="B167" i="16"/>
  <c r="B166" i="16"/>
  <c r="B165" i="16"/>
  <c r="B164" i="16"/>
  <c r="B163" i="16"/>
  <c r="B162" i="16"/>
  <c r="B161" i="16"/>
  <c r="B160" i="16"/>
  <c r="J135" i="16"/>
  <c r="I135" i="16"/>
  <c r="I251" i="16" s="1"/>
  <c r="H135" i="16"/>
  <c r="H251" i="16" s="1"/>
  <c r="B135" i="16"/>
  <c r="B251" i="16" s="1"/>
  <c r="J134" i="16"/>
  <c r="I134" i="16"/>
  <c r="I250" i="16" s="1"/>
  <c r="H134" i="16"/>
  <c r="H250" i="16" s="1"/>
  <c r="B134" i="16"/>
  <c r="B250" i="16" s="1"/>
  <c r="K133" i="16"/>
  <c r="K249" i="16" s="1"/>
  <c r="J133" i="16"/>
  <c r="I133" i="16"/>
  <c r="H133" i="16"/>
  <c r="B133" i="16"/>
  <c r="B249" i="16" s="1"/>
  <c r="K102" i="16"/>
  <c r="H101" i="16"/>
  <c r="K153" i="16" s="1"/>
  <c r="K188" i="16" s="1"/>
  <c r="K214" i="16" s="1"/>
  <c r="K238" i="16" s="1"/>
  <c r="J97" i="16"/>
  <c r="I97" i="16"/>
  <c r="H97" i="16"/>
  <c r="O95" i="16"/>
  <c r="N95" i="16"/>
  <c r="M95" i="16"/>
  <c r="L95" i="16"/>
  <c r="J91" i="16"/>
  <c r="K91" i="16" s="1"/>
  <c r="L91" i="16" s="1"/>
  <c r="M91" i="16" s="1"/>
  <c r="N91" i="16" s="1"/>
  <c r="O91" i="16" s="1"/>
  <c r="I91" i="16"/>
  <c r="H91" i="16"/>
  <c r="J89" i="16"/>
  <c r="I89" i="16"/>
  <c r="J66" i="16"/>
  <c r="J90" i="16" s="1"/>
  <c r="K90" i="16" s="1"/>
  <c r="I66" i="16"/>
  <c r="I90" i="16" s="1"/>
  <c r="H66" i="16"/>
  <c r="H90" i="16" s="1"/>
  <c r="K63" i="16"/>
  <c r="K266" i="16" s="1"/>
  <c r="H25" i="16"/>
  <c r="B20" i="16"/>
  <c r="B316" i="15"/>
  <c r="J251" i="15"/>
  <c r="J249" i="15"/>
  <c r="K271" i="15" s="1"/>
  <c r="L271" i="15" s="1"/>
  <c r="M271" i="15" s="1"/>
  <c r="N271" i="15" s="1"/>
  <c r="O271" i="15" s="1"/>
  <c r="H249" i="15"/>
  <c r="B227" i="15"/>
  <c r="B209" i="15"/>
  <c r="B216" i="15" s="1"/>
  <c r="B191" i="15"/>
  <c r="B167" i="15"/>
  <c r="B166" i="15"/>
  <c r="B165" i="15"/>
  <c r="B164" i="15"/>
  <c r="B163" i="15"/>
  <c r="B162" i="15"/>
  <c r="B161" i="15"/>
  <c r="B160" i="15"/>
  <c r="J135" i="15"/>
  <c r="I135" i="15"/>
  <c r="I251" i="15" s="1"/>
  <c r="H135" i="15"/>
  <c r="H251" i="15" s="1"/>
  <c r="B135" i="15"/>
  <c r="B251" i="15" s="1"/>
  <c r="J134" i="15"/>
  <c r="J250" i="15" s="1"/>
  <c r="I134" i="15"/>
  <c r="I250" i="15" s="1"/>
  <c r="H134" i="15"/>
  <c r="H250" i="15" s="1"/>
  <c r="B134" i="15"/>
  <c r="B250" i="15" s="1"/>
  <c r="J133" i="15"/>
  <c r="I133" i="15"/>
  <c r="I249" i="15" s="1"/>
  <c r="H133" i="15"/>
  <c r="B133" i="15"/>
  <c r="B249" i="15" s="1"/>
  <c r="H101" i="15"/>
  <c r="K153" i="15" s="1"/>
  <c r="K188" i="15" s="1"/>
  <c r="K214" i="15" s="1"/>
  <c r="K238" i="15" s="1"/>
  <c r="J97" i="15"/>
  <c r="I97" i="15"/>
  <c r="H97" i="15"/>
  <c r="O95" i="15"/>
  <c r="N95" i="15"/>
  <c r="M95" i="15"/>
  <c r="L95" i="15"/>
  <c r="J91" i="15"/>
  <c r="K91" i="15" s="1"/>
  <c r="I91" i="15"/>
  <c r="H91" i="15"/>
  <c r="J89" i="15"/>
  <c r="I89" i="15"/>
  <c r="J66" i="15"/>
  <c r="J90" i="15" s="1"/>
  <c r="K90" i="15" s="1"/>
  <c r="L90" i="15" s="1"/>
  <c r="M90" i="15" s="1"/>
  <c r="N90" i="15" s="1"/>
  <c r="O90" i="15" s="1"/>
  <c r="I66" i="15"/>
  <c r="I90" i="15" s="1"/>
  <c r="H66" i="15"/>
  <c r="H90" i="15" s="1"/>
  <c r="K64" i="15"/>
  <c r="K133" i="15" s="1"/>
  <c r="K249" i="15" s="1"/>
  <c r="K63" i="15"/>
  <c r="K266" i="15" s="1"/>
  <c r="J63" i="15"/>
  <c r="J266" i="15" s="1"/>
  <c r="I63" i="15"/>
  <c r="H63" i="15" s="1"/>
  <c r="H25" i="15"/>
  <c r="B20" i="15"/>
  <c r="B316" i="14"/>
  <c r="K277" i="14"/>
  <c r="K279" i="14" s="1"/>
  <c r="K267" i="14"/>
  <c r="K255" i="14"/>
  <c r="H251" i="14"/>
  <c r="B251" i="14"/>
  <c r="B227" i="14"/>
  <c r="B209" i="14"/>
  <c r="B216" i="14" s="1"/>
  <c r="B191" i="14"/>
  <c r="O182" i="14"/>
  <c r="N182" i="14"/>
  <c r="B167" i="14"/>
  <c r="B166" i="14"/>
  <c r="B165" i="14"/>
  <c r="B164" i="14"/>
  <c r="B163" i="14"/>
  <c r="B162" i="14"/>
  <c r="B161" i="14"/>
  <c r="B160" i="14"/>
  <c r="K153" i="14"/>
  <c r="K188" i="14" s="1"/>
  <c r="K214" i="14" s="1"/>
  <c r="K238" i="14" s="1"/>
  <c r="I144" i="14"/>
  <c r="J143" i="14"/>
  <c r="J140" i="14"/>
  <c r="J135" i="14"/>
  <c r="J251" i="14" s="1"/>
  <c r="I135" i="14"/>
  <c r="I251" i="14" s="1"/>
  <c r="H135" i="14"/>
  <c r="B135" i="14"/>
  <c r="J134" i="14"/>
  <c r="J139" i="14" s="1"/>
  <c r="I134" i="14"/>
  <c r="I143" i="14" s="1"/>
  <c r="H134" i="14"/>
  <c r="H143" i="14" s="1"/>
  <c r="B134" i="14"/>
  <c r="B250" i="14" s="1"/>
  <c r="J133" i="14"/>
  <c r="J141" i="14" s="1"/>
  <c r="I133" i="14"/>
  <c r="I141" i="14" s="1"/>
  <c r="H133" i="14"/>
  <c r="H141" i="14" s="1"/>
  <c r="B133" i="14"/>
  <c r="B249" i="14" s="1"/>
  <c r="O123" i="14"/>
  <c r="N123" i="14"/>
  <c r="M123" i="14"/>
  <c r="L123" i="14"/>
  <c r="K123" i="14"/>
  <c r="J123" i="14"/>
  <c r="J128" i="14" s="1"/>
  <c r="I123" i="14"/>
  <c r="I128" i="14" s="1"/>
  <c r="H123" i="14"/>
  <c r="H128" i="14" s="1"/>
  <c r="J117" i="14"/>
  <c r="I117" i="14"/>
  <c r="H117" i="14"/>
  <c r="H112" i="14"/>
  <c r="H130" i="14" s="1"/>
  <c r="K110" i="14"/>
  <c r="L110" i="14" s="1"/>
  <c r="M110" i="14" s="1"/>
  <c r="N110" i="14" s="1"/>
  <c r="O110" i="14" s="1"/>
  <c r="J107" i="14"/>
  <c r="J148" i="14" s="1"/>
  <c r="J149" i="14" s="1"/>
  <c r="I107" i="14"/>
  <c r="I148" i="14" s="1"/>
  <c r="H107" i="14"/>
  <c r="H148" i="14" s="1"/>
  <c r="H149" i="14" s="1"/>
  <c r="H101" i="14"/>
  <c r="J97" i="14"/>
  <c r="I97" i="14"/>
  <c r="H97" i="14"/>
  <c r="O95" i="14"/>
  <c r="N95" i="14"/>
  <c r="M95" i="14"/>
  <c r="L95" i="14"/>
  <c r="J91" i="14"/>
  <c r="K91" i="14" s="1"/>
  <c r="I91" i="14"/>
  <c r="H91" i="14"/>
  <c r="J89" i="14"/>
  <c r="I89" i="14"/>
  <c r="H68" i="14"/>
  <c r="H71" i="14" s="1"/>
  <c r="J66" i="14"/>
  <c r="J68" i="14" s="1"/>
  <c r="I66" i="14"/>
  <c r="I68" i="14" s="1"/>
  <c r="H66" i="14"/>
  <c r="H90" i="14" s="1"/>
  <c r="K64" i="14"/>
  <c r="K133" i="14" s="1"/>
  <c r="K63" i="14"/>
  <c r="K284" i="14" s="1"/>
  <c r="J63" i="14"/>
  <c r="J276" i="14" s="1"/>
  <c r="H25" i="14"/>
  <c r="B20" i="14"/>
  <c r="B316" i="13"/>
  <c r="I250" i="13"/>
  <c r="H250" i="13"/>
  <c r="B227" i="13"/>
  <c r="B209" i="13"/>
  <c r="B216" i="13" s="1"/>
  <c r="B191" i="13"/>
  <c r="K182" i="13"/>
  <c r="O182" i="13"/>
  <c r="N182" i="13"/>
  <c r="M182" i="13"/>
  <c r="L182" i="13"/>
  <c r="O174" i="13"/>
  <c r="N174" i="13"/>
  <c r="M174" i="13"/>
  <c r="L174" i="13"/>
  <c r="K174" i="13"/>
  <c r="B167" i="13"/>
  <c r="B166" i="13"/>
  <c r="B165" i="13"/>
  <c r="B164" i="13"/>
  <c r="B163" i="13"/>
  <c r="B162" i="13"/>
  <c r="B161" i="13"/>
  <c r="B160" i="13"/>
  <c r="J135" i="13"/>
  <c r="J251" i="13" s="1"/>
  <c r="I135" i="13"/>
  <c r="I251" i="13" s="1"/>
  <c r="H135" i="13"/>
  <c r="H251" i="13" s="1"/>
  <c r="B135" i="13"/>
  <c r="B251" i="13" s="1"/>
  <c r="J134" i="13"/>
  <c r="J250" i="13" s="1"/>
  <c r="I134" i="13"/>
  <c r="H134" i="13"/>
  <c r="B134" i="13"/>
  <c r="B250" i="13" s="1"/>
  <c r="J133" i="13"/>
  <c r="J249" i="13" s="1"/>
  <c r="K271" i="13" s="1"/>
  <c r="L271" i="13" s="1"/>
  <c r="M271" i="13" s="1"/>
  <c r="N271" i="13" s="1"/>
  <c r="O271" i="13" s="1"/>
  <c r="I133" i="13"/>
  <c r="H133" i="13"/>
  <c r="B133" i="13"/>
  <c r="B249" i="13" s="1"/>
  <c r="H101" i="13"/>
  <c r="K153" i="13" s="1"/>
  <c r="K188" i="13" s="1"/>
  <c r="K214" i="13" s="1"/>
  <c r="K238" i="13" s="1"/>
  <c r="J97" i="13"/>
  <c r="I97" i="13"/>
  <c r="H97" i="13"/>
  <c r="O95" i="13"/>
  <c r="N95" i="13"/>
  <c r="M95" i="13"/>
  <c r="L95" i="13"/>
  <c r="J91" i="13"/>
  <c r="K91" i="13" s="1"/>
  <c r="L91" i="13" s="1"/>
  <c r="M91" i="13" s="1"/>
  <c r="N91" i="13" s="1"/>
  <c r="O91" i="13" s="1"/>
  <c r="I91" i="13"/>
  <c r="H91" i="13"/>
  <c r="J89" i="13"/>
  <c r="I89" i="13"/>
  <c r="J66" i="13"/>
  <c r="J90" i="13" s="1"/>
  <c r="K90" i="13" s="1"/>
  <c r="L90" i="13" s="1"/>
  <c r="M90" i="13" s="1"/>
  <c r="N90" i="13" s="1"/>
  <c r="O90" i="13" s="1"/>
  <c r="I66" i="13"/>
  <c r="I90" i="13" s="1"/>
  <c r="H66" i="13"/>
  <c r="H90" i="13" s="1"/>
  <c r="K64" i="13"/>
  <c r="K63" i="13"/>
  <c r="K284" i="13" s="1"/>
  <c r="H25" i="13"/>
  <c r="B20" i="13"/>
  <c r="B316" i="12"/>
  <c r="B227" i="12"/>
  <c r="B209" i="12"/>
  <c r="B216" i="12" s="1"/>
  <c r="B191" i="12"/>
  <c r="N182" i="12"/>
  <c r="M182" i="12"/>
  <c r="L182" i="12"/>
  <c r="K182" i="12"/>
  <c r="O182" i="12"/>
  <c r="O174" i="12"/>
  <c r="N174" i="12"/>
  <c r="M174" i="12"/>
  <c r="L174" i="12"/>
  <c r="K174" i="12"/>
  <c r="B167" i="12"/>
  <c r="B166" i="12"/>
  <c r="B165" i="12"/>
  <c r="B164" i="12"/>
  <c r="B163" i="12"/>
  <c r="B162" i="12"/>
  <c r="B161" i="12"/>
  <c r="B160" i="12"/>
  <c r="I140" i="12"/>
  <c r="H140" i="12"/>
  <c r="J138" i="12"/>
  <c r="H138" i="12"/>
  <c r="J135" i="12"/>
  <c r="J251" i="12" s="1"/>
  <c r="I135" i="12"/>
  <c r="I251" i="12" s="1"/>
  <c r="H135" i="12"/>
  <c r="H251" i="12" s="1"/>
  <c r="B135" i="12"/>
  <c r="B251" i="12" s="1"/>
  <c r="J134" i="12"/>
  <c r="J144" i="12" s="1"/>
  <c r="I134" i="12"/>
  <c r="I144" i="12" s="1"/>
  <c r="H134" i="12"/>
  <c r="H144" i="12" s="1"/>
  <c r="B134" i="12"/>
  <c r="B250" i="12" s="1"/>
  <c r="J133" i="12"/>
  <c r="J249" i="12" s="1"/>
  <c r="K271" i="12" s="1"/>
  <c r="L271" i="12" s="1"/>
  <c r="M271" i="12" s="1"/>
  <c r="N271" i="12" s="1"/>
  <c r="O271" i="12" s="1"/>
  <c r="I133" i="12"/>
  <c r="I249" i="12" s="1"/>
  <c r="H133" i="12"/>
  <c r="H249" i="12" s="1"/>
  <c r="B133" i="12"/>
  <c r="B249" i="12" s="1"/>
  <c r="O123" i="12"/>
  <c r="N123" i="12"/>
  <c r="M123" i="12"/>
  <c r="L123" i="12"/>
  <c r="K123" i="12"/>
  <c r="J123" i="12"/>
  <c r="I123" i="12"/>
  <c r="H123" i="12"/>
  <c r="J117" i="12"/>
  <c r="J128" i="12" s="1"/>
  <c r="I117" i="12"/>
  <c r="I128" i="12" s="1"/>
  <c r="H117" i="12"/>
  <c r="H128" i="12" s="1"/>
  <c r="I112" i="12"/>
  <c r="H112" i="12"/>
  <c r="J107" i="12"/>
  <c r="J112" i="12" s="1"/>
  <c r="I107" i="12"/>
  <c r="I148" i="12" s="1"/>
  <c r="I149" i="12" s="1"/>
  <c r="H107" i="12"/>
  <c r="H148" i="12" s="1"/>
  <c r="H149" i="12" s="1"/>
  <c r="H101" i="12"/>
  <c r="K153" i="12" s="1"/>
  <c r="K188" i="12" s="1"/>
  <c r="K214" i="12" s="1"/>
  <c r="K238" i="12" s="1"/>
  <c r="J97" i="12"/>
  <c r="I97" i="12"/>
  <c r="H97" i="12"/>
  <c r="O95" i="12"/>
  <c r="N95" i="12"/>
  <c r="M95" i="12"/>
  <c r="L95" i="12"/>
  <c r="J91" i="12"/>
  <c r="K91" i="12" s="1"/>
  <c r="L91" i="12" s="1"/>
  <c r="I91" i="12"/>
  <c r="H91" i="12"/>
  <c r="J89" i="12"/>
  <c r="I89" i="12"/>
  <c r="H68" i="12"/>
  <c r="H71" i="12" s="1"/>
  <c r="J66" i="12"/>
  <c r="J90" i="12" s="1"/>
  <c r="K90" i="12" s="1"/>
  <c r="L90" i="12" s="1"/>
  <c r="M90" i="12" s="1"/>
  <c r="N90" i="12" s="1"/>
  <c r="O90" i="12" s="1"/>
  <c r="I66" i="12"/>
  <c r="I90" i="12" s="1"/>
  <c r="H66" i="12"/>
  <c r="H90" i="12" s="1"/>
  <c r="K64" i="12"/>
  <c r="K133" i="12" s="1"/>
  <c r="L63" i="12"/>
  <c r="L294" i="12" s="1"/>
  <c r="K63" i="12"/>
  <c r="K284" i="12" s="1"/>
  <c r="H25" i="12"/>
  <c r="B20" i="12"/>
  <c r="B316" i="11"/>
  <c r="J250" i="11"/>
  <c r="B227" i="11"/>
  <c r="B209" i="11"/>
  <c r="B216" i="11" s="1"/>
  <c r="B191" i="11"/>
  <c r="O182" i="11"/>
  <c r="N182" i="11"/>
  <c r="M182" i="11"/>
  <c r="L182" i="11"/>
  <c r="K182" i="11"/>
  <c r="B167" i="11"/>
  <c r="B166" i="11"/>
  <c r="B165" i="11"/>
  <c r="B164" i="11"/>
  <c r="B163" i="11"/>
  <c r="B162" i="11"/>
  <c r="B161" i="11"/>
  <c r="B160" i="11"/>
  <c r="J143" i="11"/>
  <c r="J135" i="11"/>
  <c r="J251" i="11" s="1"/>
  <c r="I135" i="11"/>
  <c r="I251" i="11" s="1"/>
  <c r="H135" i="11"/>
  <c r="H251" i="11" s="1"/>
  <c r="B135" i="11"/>
  <c r="B251" i="11" s="1"/>
  <c r="J134" i="11"/>
  <c r="J139" i="11" s="1"/>
  <c r="I134" i="11"/>
  <c r="I250" i="11" s="1"/>
  <c r="H134" i="11"/>
  <c r="H143" i="11" s="1"/>
  <c r="B134" i="11"/>
  <c r="B250" i="11" s="1"/>
  <c r="J133" i="11"/>
  <c r="J141" i="11" s="1"/>
  <c r="I133" i="11"/>
  <c r="I141" i="11" s="1"/>
  <c r="H133" i="11"/>
  <c r="H141" i="11" s="1"/>
  <c r="B133" i="11"/>
  <c r="B249" i="11" s="1"/>
  <c r="H128" i="11"/>
  <c r="O123" i="11"/>
  <c r="N123" i="11"/>
  <c r="M123" i="11"/>
  <c r="L123" i="11"/>
  <c r="K123" i="11"/>
  <c r="J123" i="11"/>
  <c r="I123" i="11"/>
  <c r="H123" i="11"/>
  <c r="J117" i="11"/>
  <c r="J128" i="11" s="1"/>
  <c r="I117" i="11"/>
  <c r="I128" i="11" s="1"/>
  <c r="H117" i="11"/>
  <c r="K110" i="11"/>
  <c r="L110" i="11" s="1"/>
  <c r="M110" i="11" s="1"/>
  <c r="N110" i="11" s="1"/>
  <c r="O110" i="11" s="1"/>
  <c r="J107" i="11"/>
  <c r="J112" i="11" s="1"/>
  <c r="I107" i="11"/>
  <c r="I112" i="11" s="1"/>
  <c r="H107" i="11"/>
  <c r="H112" i="11" s="1"/>
  <c r="H101" i="11"/>
  <c r="K153" i="11" s="1"/>
  <c r="K188" i="11" s="1"/>
  <c r="K214" i="11" s="1"/>
  <c r="K238" i="11" s="1"/>
  <c r="J97" i="11"/>
  <c r="I97" i="11"/>
  <c r="H97" i="11"/>
  <c r="O95" i="11"/>
  <c r="N95" i="11"/>
  <c r="M95" i="11"/>
  <c r="L95" i="11"/>
  <c r="K91" i="11"/>
  <c r="L91" i="11" s="1"/>
  <c r="M91" i="11" s="1"/>
  <c r="N91" i="11" s="1"/>
  <c r="O91" i="11" s="1"/>
  <c r="J91" i="11"/>
  <c r="I91" i="11"/>
  <c r="H91" i="11"/>
  <c r="J89" i="11"/>
  <c r="I89" i="11"/>
  <c r="H68" i="11"/>
  <c r="H82" i="11" s="1"/>
  <c r="H84" i="11" s="1"/>
  <c r="H86" i="11" s="1"/>
  <c r="H92" i="11" s="1"/>
  <c r="J66" i="11"/>
  <c r="J90" i="11" s="1"/>
  <c r="K90" i="11" s="1"/>
  <c r="I66" i="11"/>
  <c r="I90" i="11" s="1"/>
  <c r="H66" i="11"/>
  <c r="H90" i="11" s="1"/>
  <c r="K64" i="11"/>
  <c r="K67" i="11" s="1"/>
  <c r="K135" i="11" s="1"/>
  <c r="K251" i="11" s="1"/>
  <c r="K63" i="11"/>
  <c r="K284" i="11" s="1"/>
  <c r="H25" i="11"/>
  <c r="B20" i="11"/>
  <c r="B316" i="10"/>
  <c r="K255" i="10"/>
  <c r="B227" i="10"/>
  <c r="B209" i="10"/>
  <c r="B216" i="10" s="1"/>
  <c r="B191" i="10"/>
  <c r="N182" i="10"/>
  <c r="L182" i="10"/>
  <c r="K182" i="10"/>
  <c r="O182" i="10"/>
  <c r="B167" i="10"/>
  <c r="B166" i="10"/>
  <c r="B165" i="10"/>
  <c r="B164" i="10"/>
  <c r="B163" i="10"/>
  <c r="B162" i="10"/>
  <c r="B161" i="10"/>
  <c r="B160" i="10"/>
  <c r="J135" i="10"/>
  <c r="J251" i="10" s="1"/>
  <c r="I135" i="10"/>
  <c r="I251" i="10" s="1"/>
  <c r="H135" i="10"/>
  <c r="H251" i="10" s="1"/>
  <c r="B135" i="10"/>
  <c r="B251" i="10" s="1"/>
  <c r="J134" i="10"/>
  <c r="J250" i="10" s="1"/>
  <c r="I134" i="10"/>
  <c r="I143" i="10" s="1"/>
  <c r="H134" i="10"/>
  <c r="H143" i="10" s="1"/>
  <c r="B134" i="10"/>
  <c r="B250" i="10" s="1"/>
  <c r="J133" i="10"/>
  <c r="J141" i="10" s="1"/>
  <c r="I133" i="10"/>
  <c r="I141" i="10" s="1"/>
  <c r="H133" i="10"/>
  <c r="H141" i="10" s="1"/>
  <c r="B133" i="10"/>
  <c r="B249" i="10" s="1"/>
  <c r="O123" i="10"/>
  <c r="N123" i="10"/>
  <c r="M123" i="10"/>
  <c r="L123" i="10"/>
  <c r="K123" i="10"/>
  <c r="J123" i="10"/>
  <c r="I123" i="10"/>
  <c r="H123" i="10"/>
  <c r="H128" i="10" s="1"/>
  <c r="J117" i="10"/>
  <c r="I117" i="10"/>
  <c r="H117" i="10"/>
  <c r="K110" i="10"/>
  <c r="L110" i="10" s="1"/>
  <c r="M110" i="10" s="1"/>
  <c r="N110" i="10" s="1"/>
  <c r="O110" i="10" s="1"/>
  <c r="J107" i="10"/>
  <c r="I107" i="10"/>
  <c r="H107" i="10"/>
  <c r="H148" i="10" s="1"/>
  <c r="H149" i="10" s="1"/>
  <c r="H101" i="10"/>
  <c r="K153" i="10" s="1"/>
  <c r="K188" i="10" s="1"/>
  <c r="K214" i="10" s="1"/>
  <c r="K238" i="10" s="1"/>
  <c r="J97" i="10"/>
  <c r="I97" i="10"/>
  <c r="H97" i="10"/>
  <c r="O95" i="10"/>
  <c r="N95" i="10"/>
  <c r="M95" i="10"/>
  <c r="L95" i="10"/>
  <c r="J91" i="10"/>
  <c r="K91" i="10" s="1"/>
  <c r="I91" i="10"/>
  <c r="H91" i="10"/>
  <c r="I90" i="10"/>
  <c r="J89" i="10"/>
  <c r="I89" i="10"/>
  <c r="J66" i="10"/>
  <c r="J68" i="10" s="1"/>
  <c r="I66" i="10"/>
  <c r="I68" i="10" s="1"/>
  <c r="H66" i="10"/>
  <c r="H90" i="10" s="1"/>
  <c r="K64" i="10"/>
  <c r="K133" i="10" s="1"/>
  <c r="K63" i="10"/>
  <c r="K284" i="10" s="1"/>
  <c r="H25" i="10"/>
  <c r="B20" i="10"/>
  <c r="B316" i="9"/>
  <c r="K285" i="9"/>
  <c r="K277" i="9"/>
  <c r="K279" i="9" s="1"/>
  <c r="K267" i="9"/>
  <c r="K255" i="9"/>
  <c r="H251" i="9"/>
  <c r="B227" i="9"/>
  <c r="B209" i="9"/>
  <c r="B216" i="9" s="1"/>
  <c r="O180" i="9"/>
  <c r="N180" i="9"/>
  <c r="M180" i="9"/>
  <c r="L180" i="9"/>
  <c r="K180" i="9"/>
  <c r="O179" i="9"/>
  <c r="N179" i="9"/>
  <c r="B191" i="9"/>
  <c r="L179" i="9"/>
  <c r="K179" i="9"/>
  <c r="B167" i="9"/>
  <c r="B166" i="9"/>
  <c r="B165" i="9"/>
  <c r="B164" i="9"/>
  <c r="B163" i="9"/>
  <c r="B162" i="9"/>
  <c r="B161" i="9"/>
  <c r="B160" i="9"/>
  <c r="H140" i="9"/>
  <c r="J135" i="9"/>
  <c r="J251" i="9" s="1"/>
  <c r="I135" i="9"/>
  <c r="I251" i="9" s="1"/>
  <c r="H135" i="9"/>
  <c r="B135" i="9"/>
  <c r="B251" i="9" s="1"/>
  <c r="J134" i="9"/>
  <c r="J139" i="9" s="1"/>
  <c r="I134" i="9"/>
  <c r="I250" i="9" s="1"/>
  <c r="H134" i="9"/>
  <c r="H139" i="9" s="1"/>
  <c r="B134" i="9"/>
  <c r="B250" i="9" s="1"/>
  <c r="J133" i="9"/>
  <c r="J146" i="9" s="1"/>
  <c r="I133" i="9"/>
  <c r="I146" i="9" s="1"/>
  <c r="H133" i="9"/>
  <c r="H146" i="9" s="1"/>
  <c r="B133" i="9"/>
  <c r="B249" i="9" s="1"/>
  <c r="J123" i="9"/>
  <c r="I123" i="9"/>
  <c r="H123" i="9"/>
  <c r="J117" i="9"/>
  <c r="J128" i="9" s="1"/>
  <c r="I117" i="9"/>
  <c r="I128" i="9" s="1"/>
  <c r="H117" i="9"/>
  <c r="H128" i="9" s="1"/>
  <c r="L110" i="9"/>
  <c r="M110" i="9" s="1"/>
  <c r="N110" i="9" s="1"/>
  <c r="O110" i="9" s="1"/>
  <c r="K110" i="9"/>
  <c r="J107" i="9"/>
  <c r="J112" i="9" s="1"/>
  <c r="J130" i="9" s="1"/>
  <c r="I107" i="9"/>
  <c r="I112" i="9" s="1"/>
  <c r="I130" i="9" s="1"/>
  <c r="H107" i="9"/>
  <c r="H112" i="9" s="1"/>
  <c r="H101" i="9"/>
  <c r="K153" i="9" s="1"/>
  <c r="K188" i="9" s="1"/>
  <c r="K214" i="9" s="1"/>
  <c r="K238" i="9" s="1"/>
  <c r="J97" i="9"/>
  <c r="I97" i="9"/>
  <c r="H97" i="9"/>
  <c r="O95" i="9"/>
  <c r="N95" i="9"/>
  <c r="M95" i="9"/>
  <c r="L95" i="9"/>
  <c r="J91" i="9"/>
  <c r="K91" i="9" s="1"/>
  <c r="L91" i="9" s="1"/>
  <c r="M91" i="9" s="1"/>
  <c r="N91" i="9" s="1"/>
  <c r="O91" i="9" s="1"/>
  <c r="I91" i="9"/>
  <c r="H91" i="9"/>
  <c r="J89" i="9"/>
  <c r="I89" i="9"/>
  <c r="J66" i="9"/>
  <c r="J68" i="9" s="1"/>
  <c r="I66" i="9"/>
  <c r="I68" i="9" s="1"/>
  <c r="H66" i="9"/>
  <c r="H68" i="9" s="1"/>
  <c r="K64" i="9"/>
  <c r="L64" i="9" s="1"/>
  <c r="K63" i="9"/>
  <c r="K284" i="9" s="1"/>
  <c r="H25" i="9"/>
  <c r="B20" i="9"/>
  <c r="B316" i="8"/>
  <c r="K285" i="8"/>
  <c r="K277" i="8"/>
  <c r="K279" i="8" s="1"/>
  <c r="K276" i="8"/>
  <c r="K267" i="8"/>
  <c r="K255" i="8"/>
  <c r="B227" i="8"/>
  <c r="K217" i="8"/>
  <c r="B209" i="8"/>
  <c r="B216" i="8" s="1"/>
  <c r="O204" i="8"/>
  <c r="N204" i="8"/>
  <c r="M204" i="8"/>
  <c r="L204" i="8"/>
  <c r="K204" i="8"/>
  <c r="O203" i="8"/>
  <c r="N203" i="8"/>
  <c r="M203" i="8"/>
  <c r="L203" i="8"/>
  <c r="K203" i="8"/>
  <c r="N180" i="8"/>
  <c r="L180" i="8"/>
  <c r="K180" i="8"/>
  <c r="O179" i="8"/>
  <c r="N179" i="8"/>
  <c r="M179" i="8"/>
  <c r="L179" i="8"/>
  <c r="K179" i="8"/>
  <c r="O196" i="8"/>
  <c r="N196" i="8"/>
  <c r="M196" i="8"/>
  <c r="L196" i="8"/>
  <c r="K196" i="8"/>
  <c r="B191" i="8"/>
  <c r="O180" i="8"/>
  <c r="B167" i="8"/>
  <c r="B166" i="8"/>
  <c r="B165" i="8"/>
  <c r="B164" i="8"/>
  <c r="B163" i="8"/>
  <c r="B162" i="8"/>
  <c r="B161" i="8"/>
  <c r="B160" i="8"/>
  <c r="J143" i="8"/>
  <c r="J135" i="8"/>
  <c r="J144" i="8" s="1"/>
  <c r="I135" i="8"/>
  <c r="I144" i="8" s="1"/>
  <c r="H135" i="8"/>
  <c r="H144" i="8" s="1"/>
  <c r="B135" i="8"/>
  <c r="B251" i="8" s="1"/>
  <c r="J134" i="8"/>
  <c r="J139" i="8" s="1"/>
  <c r="I134" i="8"/>
  <c r="I139" i="8" s="1"/>
  <c r="H134" i="8"/>
  <c r="H139" i="8" s="1"/>
  <c r="B134" i="8"/>
  <c r="B250" i="8" s="1"/>
  <c r="J133" i="8"/>
  <c r="J140" i="8" s="1"/>
  <c r="I133" i="8"/>
  <c r="I140" i="8" s="1"/>
  <c r="H133" i="8"/>
  <c r="H140" i="8" s="1"/>
  <c r="B133" i="8"/>
  <c r="B249" i="8" s="1"/>
  <c r="J123" i="8"/>
  <c r="I123" i="8"/>
  <c r="H123" i="8"/>
  <c r="J117" i="8"/>
  <c r="J128" i="8" s="1"/>
  <c r="I117" i="8"/>
  <c r="H117" i="8"/>
  <c r="L110" i="8"/>
  <c r="M110" i="8" s="1"/>
  <c r="N110" i="8" s="1"/>
  <c r="O110" i="8" s="1"/>
  <c r="K110" i="8"/>
  <c r="J107" i="8"/>
  <c r="J148" i="8" s="1"/>
  <c r="J149" i="8" s="1"/>
  <c r="I107" i="8"/>
  <c r="I148" i="8" s="1"/>
  <c r="I149" i="8" s="1"/>
  <c r="H107" i="8"/>
  <c r="H112" i="8" s="1"/>
  <c r="H101" i="8"/>
  <c r="K153" i="8" s="1"/>
  <c r="K188" i="8" s="1"/>
  <c r="K214" i="8" s="1"/>
  <c r="K238" i="8" s="1"/>
  <c r="J97" i="8"/>
  <c r="I97" i="8"/>
  <c r="H97" i="8"/>
  <c r="O95" i="8"/>
  <c r="N95" i="8"/>
  <c r="M95" i="8"/>
  <c r="L95" i="8"/>
  <c r="J91" i="8"/>
  <c r="K91" i="8" s="1"/>
  <c r="I91" i="8"/>
  <c r="H91" i="8"/>
  <c r="J89" i="8"/>
  <c r="I89" i="8"/>
  <c r="J68" i="8"/>
  <c r="J71" i="8" s="1"/>
  <c r="I68" i="8"/>
  <c r="I71" i="8" s="1"/>
  <c r="J66" i="8"/>
  <c r="J90" i="8" s="1"/>
  <c r="K90" i="8" s="1"/>
  <c r="L90" i="8" s="1"/>
  <c r="M90" i="8" s="1"/>
  <c r="N90" i="8" s="1"/>
  <c r="O90" i="8" s="1"/>
  <c r="I66" i="8"/>
  <c r="I90" i="8" s="1"/>
  <c r="H66" i="8"/>
  <c r="H90" i="8" s="1"/>
  <c r="K64" i="8"/>
  <c r="L64" i="8" s="1"/>
  <c r="K63" i="8"/>
  <c r="K284" i="8" s="1"/>
  <c r="K26" i="8"/>
  <c r="J26" i="8" s="1"/>
  <c r="I26" i="8" s="1"/>
  <c r="H26" i="8" s="1"/>
  <c r="H25" i="8"/>
  <c r="B20" i="8"/>
  <c r="B316" i="7"/>
  <c r="K285" i="7"/>
  <c r="K277" i="7"/>
  <c r="K279" i="7" s="1"/>
  <c r="K267" i="7"/>
  <c r="K255" i="7"/>
  <c r="B250" i="7"/>
  <c r="K228" i="7"/>
  <c r="K230" i="7" s="1"/>
  <c r="L228" i="7" s="1"/>
  <c r="L230" i="7" s="1"/>
  <c r="B227" i="7"/>
  <c r="K217" i="7"/>
  <c r="B209" i="7"/>
  <c r="B216" i="7" s="1"/>
  <c r="O204" i="7"/>
  <c r="N204" i="7"/>
  <c r="M204" i="7"/>
  <c r="L204" i="7"/>
  <c r="K204" i="7"/>
  <c r="K203" i="7"/>
  <c r="O191" i="7"/>
  <c r="O192" i="7" s="1"/>
  <c r="O196" i="7" s="1"/>
  <c r="N191" i="7"/>
  <c r="N192" i="7" s="1"/>
  <c r="N196" i="7" s="1"/>
  <c r="M191" i="7"/>
  <c r="M192" i="7" s="1"/>
  <c r="M196" i="7" s="1"/>
  <c r="L191" i="7"/>
  <c r="L192" i="7" s="1"/>
  <c r="L196" i="7" s="1"/>
  <c r="K191" i="7"/>
  <c r="K192" i="7" s="1"/>
  <c r="K196" i="7" s="1"/>
  <c r="B191" i="7"/>
  <c r="B167" i="7"/>
  <c r="B166" i="7"/>
  <c r="B165" i="7"/>
  <c r="B164" i="7"/>
  <c r="B163" i="7"/>
  <c r="B162" i="7"/>
  <c r="B161" i="7"/>
  <c r="B160" i="7"/>
  <c r="J143" i="7"/>
  <c r="J141" i="7"/>
  <c r="I141" i="7"/>
  <c r="J135" i="7"/>
  <c r="J144" i="7" s="1"/>
  <c r="I135" i="7"/>
  <c r="H135" i="7"/>
  <c r="B135" i="7"/>
  <c r="B251" i="7" s="1"/>
  <c r="J134" i="7"/>
  <c r="J139" i="7" s="1"/>
  <c r="I134" i="7"/>
  <c r="I139" i="7" s="1"/>
  <c r="H134" i="7"/>
  <c r="H139" i="7" s="1"/>
  <c r="B134" i="7"/>
  <c r="J133" i="7"/>
  <c r="J140" i="7" s="1"/>
  <c r="I133" i="7"/>
  <c r="I140" i="7" s="1"/>
  <c r="H133" i="7"/>
  <c r="H140" i="7" s="1"/>
  <c r="B133" i="7"/>
  <c r="B249" i="7" s="1"/>
  <c r="J123" i="7"/>
  <c r="I123" i="7"/>
  <c r="H123" i="7"/>
  <c r="J117" i="7"/>
  <c r="J128" i="7" s="1"/>
  <c r="I117" i="7"/>
  <c r="I128" i="7" s="1"/>
  <c r="H117" i="7"/>
  <c r="H128" i="7" s="1"/>
  <c r="K110" i="7"/>
  <c r="L110" i="7" s="1"/>
  <c r="M110" i="7" s="1"/>
  <c r="N110" i="7" s="1"/>
  <c r="O110" i="7" s="1"/>
  <c r="J107" i="7"/>
  <c r="I107" i="7"/>
  <c r="H107" i="7"/>
  <c r="H112" i="7" s="1"/>
  <c r="H130" i="7" s="1"/>
  <c r="K102" i="7"/>
  <c r="H101" i="7"/>
  <c r="K153" i="7" s="1"/>
  <c r="K188" i="7" s="1"/>
  <c r="K214" i="7" s="1"/>
  <c r="K238" i="7" s="1"/>
  <c r="J97" i="7"/>
  <c r="I97" i="7"/>
  <c r="H97" i="7"/>
  <c r="O95" i="7"/>
  <c r="N95" i="7"/>
  <c r="M95" i="7"/>
  <c r="L95" i="7"/>
  <c r="J91" i="7"/>
  <c r="K91" i="7" s="1"/>
  <c r="I91" i="7"/>
  <c r="H91" i="7"/>
  <c r="J89" i="7"/>
  <c r="I89" i="7"/>
  <c r="J66" i="7"/>
  <c r="J90" i="7" s="1"/>
  <c r="K90" i="7" s="1"/>
  <c r="I66" i="7"/>
  <c r="I90" i="7" s="1"/>
  <c r="H66" i="7"/>
  <c r="H90" i="7" s="1"/>
  <c r="K64" i="7"/>
  <c r="K63" i="7"/>
  <c r="K284" i="7" s="1"/>
  <c r="K26" i="7"/>
  <c r="J26" i="7"/>
  <c r="I26" i="7" s="1"/>
  <c r="H26" i="7" s="1"/>
  <c r="H25" i="7"/>
  <c r="B20" i="7"/>
  <c r="B316" i="6"/>
  <c r="K285" i="6"/>
  <c r="K277" i="6"/>
  <c r="K279" i="6" s="1"/>
  <c r="K267" i="6"/>
  <c r="K255" i="6"/>
  <c r="I251" i="6"/>
  <c r="B251" i="6"/>
  <c r="K228" i="6"/>
  <c r="K230" i="6" s="1"/>
  <c r="B227" i="6"/>
  <c r="K217" i="6"/>
  <c r="B209" i="6"/>
  <c r="B216" i="6" s="1"/>
  <c r="O204" i="6"/>
  <c r="N204" i="6"/>
  <c r="M204" i="6"/>
  <c r="L204" i="6"/>
  <c r="K204" i="6"/>
  <c r="K203" i="6"/>
  <c r="O180" i="6"/>
  <c r="N180" i="6"/>
  <c r="M180" i="6"/>
  <c r="L180" i="6"/>
  <c r="K180" i="6"/>
  <c r="O179" i="6"/>
  <c r="N179" i="6"/>
  <c r="M179" i="6"/>
  <c r="L179" i="6"/>
  <c r="K179" i="6"/>
  <c r="O191" i="6"/>
  <c r="O192" i="6" s="1"/>
  <c r="O196" i="6" s="1"/>
  <c r="N191" i="6"/>
  <c r="N192" i="6" s="1"/>
  <c r="N196" i="6" s="1"/>
  <c r="M191" i="6"/>
  <c r="M192" i="6" s="1"/>
  <c r="M196" i="6" s="1"/>
  <c r="L191" i="6"/>
  <c r="L192" i="6" s="1"/>
  <c r="L196" i="6" s="1"/>
  <c r="K191" i="6"/>
  <c r="K192" i="6" s="1"/>
  <c r="K196" i="6" s="1"/>
  <c r="B191" i="6"/>
  <c r="B167" i="6"/>
  <c r="B166" i="6"/>
  <c r="B165" i="6"/>
  <c r="B164" i="6"/>
  <c r="B163" i="6"/>
  <c r="B162" i="6"/>
  <c r="B161" i="6"/>
  <c r="B160" i="6"/>
  <c r="H143" i="6"/>
  <c r="J140" i="6"/>
  <c r="J135" i="6"/>
  <c r="J251" i="6" s="1"/>
  <c r="I135" i="6"/>
  <c r="H135" i="6"/>
  <c r="B135" i="6"/>
  <c r="J134" i="6"/>
  <c r="J139" i="6" s="1"/>
  <c r="I134" i="6"/>
  <c r="I139" i="6" s="1"/>
  <c r="H134" i="6"/>
  <c r="H139" i="6" s="1"/>
  <c r="B134" i="6"/>
  <c r="B250" i="6" s="1"/>
  <c r="J133" i="6"/>
  <c r="J146" i="6" s="1"/>
  <c r="I133" i="6"/>
  <c r="I140" i="6" s="1"/>
  <c r="H133" i="6"/>
  <c r="H140" i="6" s="1"/>
  <c r="B133" i="6"/>
  <c r="B249" i="6" s="1"/>
  <c r="J123" i="6"/>
  <c r="I123" i="6"/>
  <c r="H123" i="6"/>
  <c r="J117" i="6"/>
  <c r="J128" i="6" s="1"/>
  <c r="I117" i="6"/>
  <c r="H117" i="6"/>
  <c r="K110" i="6"/>
  <c r="L110" i="6" s="1"/>
  <c r="M110" i="6" s="1"/>
  <c r="N110" i="6" s="1"/>
  <c r="O110" i="6" s="1"/>
  <c r="J107" i="6"/>
  <c r="J148" i="6" s="1"/>
  <c r="J149" i="6" s="1"/>
  <c r="I107" i="6"/>
  <c r="I148" i="6" s="1"/>
  <c r="I149" i="6" s="1"/>
  <c r="H107" i="6"/>
  <c r="H148" i="6" s="1"/>
  <c r="H101" i="6"/>
  <c r="K153" i="6" s="1"/>
  <c r="K188" i="6" s="1"/>
  <c r="K214" i="6" s="1"/>
  <c r="K238" i="6" s="1"/>
  <c r="J97" i="6"/>
  <c r="I97" i="6"/>
  <c r="H97" i="6"/>
  <c r="O95" i="6"/>
  <c r="N95" i="6"/>
  <c r="M95" i="6"/>
  <c r="L95" i="6"/>
  <c r="J91" i="6"/>
  <c r="K91" i="6" s="1"/>
  <c r="L91" i="6" s="1"/>
  <c r="M91" i="6" s="1"/>
  <c r="N91" i="6" s="1"/>
  <c r="O91" i="6" s="1"/>
  <c r="I91" i="6"/>
  <c r="H91" i="6"/>
  <c r="J89" i="6"/>
  <c r="I89" i="6"/>
  <c r="J66" i="6"/>
  <c r="J90" i="6" s="1"/>
  <c r="K90" i="6" s="1"/>
  <c r="L90" i="6" s="1"/>
  <c r="M90" i="6" s="1"/>
  <c r="N90" i="6" s="1"/>
  <c r="O90" i="6" s="1"/>
  <c r="I66" i="6"/>
  <c r="I90" i="6" s="1"/>
  <c r="H66" i="6"/>
  <c r="H90" i="6" s="1"/>
  <c r="K64" i="6"/>
  <c r="K65" i="6" s="1"/>
  <c r="K63" i="6"/>
  <c r="K284" i="6" s="1"/>
  <c r="H25" i="6"/>
  <c r="B20" i="6"/>
  <c r="K76" i="30" l="1"/>
  <c r="K104" i="30" s="1"/>
  <c r="L27" i="30"/>
  <c r="L93" i="30" s="1"/>
  <c r="K85" i="30"/>
  <c r="K102" i="30" s="1"/>
  <c r="K82" i="30"/>
  <c r="K45" i="30" s="1"/>
  <c r="K59" i="30" s="1"/>
  <c r="K28" i="30"/>
  <c r="K30" i="30" s="1"/>
  <c r="M26" i="30"/>
  <c r="N26" i="30" s="1"/>
  <c r="L92" i="30"/>
  <c r="L80" i="30" s="1"/>
  <c r="L109" i="30" s="1"/>
  <c r="L110" i="30" s="1"/>
  <c r="I33" i="30"/>
  <c r="I44" i="30"/>
  <c r="I46" i="30" s="1"/>
  <c r="I48" i="30" s="1"/>
  <c r="H33" i="30"/>
  <c r="H44" i="30"/>
  <c r="H46" i="30" s="1"/>
  <c r="H48" i="30" s="1"/>
  <c r="H54" i="30" s="1"/>
  <c r="L64" i="30"/>
  <c r="L175" i="30"/>
  <c r="L186" i="30"/>
  <c r="M25" i="30"/>
  <c r="L99" i="30"/>
  <c r="L151" i="30"/>
  <c r="L125" i="30"/>
  <c r="M77" i="30"/>
  <c r="I64" i="30"/>
  <c r="I186" i="30"/>
  <c r="H25" i="30"/>
  <c r="M166" i="30"/>
  <c r="N164" i="30" s="1"/>
  <c r="L168" i="30"/>
  <c r="L169" i="30" s="1"/>
  <c r="J54" i="30"/>
  <c r="J35" i="30"/>
  <c r="J58" i="30"/>
  <c r="J71" i="28"/>
  <c r="K244" i="28"/>
  <c r="K245" i="28" s="1"/>
  <c r="J140" i="25"/>
  <c r="K140" i="25" s="1"/>
  <c r="L140" i="25" s="1"/>
  <c r="M140" i="25" s="1"/>
  <c r="N140" i="25" s="1"/>
  <c r="O140" i="25" s="1"/>
  <c r="K196" i="18"/>
  <c r="K177" i="18"/>
  <c r="L196" i="18"/>
  <c r="L177" i="18"/>
  <c r="N177" i="18"/>
  <c r="N196" i="18"/>
  <c r="I82" i="18"/>
  <c r="I84" i="18" s="1"/>
  <c r="I86" i="18" s="1"/>
  <c r="I71" i="18"/>
  <c r="I73" i="18" s="1"/>
  <c r="K26" i="18"/>
  <c r="J26" i="18" s="1"/>
  <c r="I26" i="18" s="1"/>
  <c r="H26" i="18" s="1"/>
  <c r="I90" i="18"/>
  <c r="J144" i="18"/>
  <c r="H145" i="18"/>
  <c r="M196" i="18"/>
  <c r="M177" i="18"/>
  <c r="J63" i="18"/>
  <c r="L63" i="18"/>
  <c r="K67" i="18"/>
  <c r="K135" i="18" s="1"/>
  <c r="K251" i="18" s="1"/>
  <c r="H130" i="18"/>
  <c r="K276" i="18"/>
  <c r="I149" i="18"/>
  <c r="J130" i="18"/>
  <c r="H68" i="18"/>
  <c r="H138" i="18"/>
  <c r="H141" i="18"/>
  <c r="K67" i="28"/>
  <c r="K147" i="28" s="1"/>
  <c r="K27" i="28"/>
  <c r="K28" i="28" s="1"/>
  <c r="K65" i="28"/>
  <c r="K146" i="28" s="1"/>
  <c r="L64" i="28"/>
  <c r="L65" i="28" s="1"/>
  <c r="L146" i="28" s="1"/>
  <c r="K145" i="28"/>
  <c r="K116" i="28" s="1"/>
  <c r="K178" i="28" s="1"/>
  <c r="J96" i="28"/>
  <c r="J73" i="28"/>
  <c r="H82" i="28"/>
  <c r="H84" i="28" s="1"/>
  <c r="H86" i="28" s="1"/>
  <c r="H71" i="28"/>
  <c r="L242" i="28"/>
  <c r="L244" i="28"/>
  <c r="L245" i="28" s="1"/>
  <c r="M279" i="28"/>
  <c r="M274" i="28" s="1"/>
  <c r="N278" i="28"/>
  <c r="I261" i="28"/>
  <c r="H63" i="28"/>
  <c r="I102" i="28"/>
  <c r="L37" i="28"/>
  <c r="L227" i="28"/>
  <c r="L251" i="28"/>
  <c r="L201" i="28"/>
  <c r="L102" i="28"/>
  <c r="M63" i="28"/>
  <c r="L166" i="28"/>
  <c r="L26" i="28"/>
  <c r="L261" i="28"/>
  <c r="I82" i="28"/>
  <c r="I84" i="28" s="1"/>
  <c r="I86" i="28" s="1"/>
  <c r="I71" i="28"/>
  <c r="L168" i="27"/>
  <c r="L169" i="27" s="1"/>
  <c r="K92" i="27"/>
  <c r="K27" i="27"/>
  <c r="K93" i="27" s="1"/>
  <c r="L26" i="27"/>
  <c r="L92" i="27" s="1"/>
  <c r="K29" i="27"/>
  <c r="K94" i="27" s="1"/>
  <c r="N204" i="27"/>
  <c r="N199" i="27" s="1"/>
  <c r="O203" i="27"/>
  <c r="O204" i="27" s="1"/>
  <c r="O199" i="27" s="1"/>
  <c r="J44" i="27"/>
  <c r="J46" i="27" s="1"/>
  <c r="J48" i="27" s="1"/>
  <c r="J33" i="27"/>
  <c r="I44" i="27"/>
  <c r="I46" i="27" s="1"/>
  <c r="I48" i="27" s="1"/>
  <c r="I33" i="27"/>
  <c r="H44" i="27"/>
  <c r="H46" i="27" s="1"/>
  <c r="H48" i="27" s="1"/>
  <c r="H54" i="27" s="1"/>
  <c r="H33" i="27"/>
  <c r="L99" i="27"/>
  <c r="L151" i="27"/>
  <c r="L125" i="27"/>
  <c r="L64" i="27"/>
  <c r="L175" i="27"/>
  <c r="L186" i="27"/>
  <c r="M25" i="27"/>
  <c r="M168" i="27"/>
  <c r="M169" i="27" s="1"/>
  <c r="N166" i="27"/>
  <c r="O164" i="27" s="1"/>
  <c r="I186" i="27"/>
  <c r="H25" i="27"/>
  <c r="I64" i="27"/>
  <c r="I63" i="26"/>
  <c r="H63" i="26" s="1"/>
  <c r="J102" i="26"/>
  <c r="J142" i="26"/>
  <c r="L227" i="26"/>
  <c r="L201" i="26"/>
  <c r="H142" i="26"/>
  <c r="J82" i="26"/>
  <c r="J84" i="26" s="1"/>
  <c r="J86" i="26" s="1"/>
  <c r="J71" i="26"/>
  <c r="L37" i="26"/>
  <c r="L166" i="26"/>
  <c r="L26" i="26"/>
  <c r="L102" i="26"/>
  <c r="L251" i="26"/>
  <c r="M63" i="26"/>
  <c r="M201" i="26" s="1"/>
  <c r="L261" i="26"/>
  <c r="L64" i="26"/>
  <c r="M64" i="26" s="1"/>
  <c r="M65" i="26" s="1"/>
  <c r="M146" i="26" s="1"/>
  <c r="K27" i="26"/>
  <c r="K28" i="26" s="1"/>
  <c r="K67" i="26"/>
  <c r="K147" i="26" s="1"/>
  <c r="K65" i="26"/>
  <c r="K146" i="26" s="1"/>
  <c r="K145" i="26"/>
  <c r="I79" i="26"/>
  <c r="I76" i="26"/>
  <c r="I140" i="26"/>
  <c r="I94" i="26"/>
  <c r="I262" i="26"/>
  <c r="I261" i="26"/>
  <c r="I102" i="26"/>
  <c r="M279" i="26"/>
  <c r="M274" i="26" s="1"/>
  <c r="N278" i="26"/>
  <c r="K122" i="26"/>
  <c r="K50" i="26" s="1"/>
  <c r="L240" i="26"/>
  <c r="H79" i="26"/>
  <c r="H140" i="26"/>
  <c r="H262" i="26"/>
  <c r="H76" i="26"/>
  <c r="H92" i="26"/>
  <c r="H29" i="26"/>
  <c r="H30" i="26" s="1"/>
  <c r="K244" i="26"/>
  <c r="K245" i="26" s="1"/>
  <c r="I92" i="26"/>
  <c r="I29" i="26"/>
  <c r="I30" i="26" s="1"/>
  <c r="I93" i="26"/>
  <c r="K27" i="25"/>
  <c r="K28" i="25" s="1"/>
  <c r="K67" i="25"/>
  <c r="K147" i="25" s="1"/>
  <c r="K263" i="25" s="1"/>
  <c r="L64" i="25"/>
  <c r="L145" i="25" s="1"/>
  <c r="L133" i="25" s="1"/>
  <c r="K145" i="25"/>
  <c r="K133" i="25" s="1"/>
  <c r="K65" i="25"/>
  <c r="K146" i="25" s="1"/>
  <c r="K114" i="25" s="1"/>
  <c r="J288" i="25"/>
  <c r="I63" i="25"/>
  <c r="I102" i="25" s="1"/>
  <c r="J102" i="25"/>
  <c r="J278" i="25"/>
  <c r="J296" i="25"/>
  <c r="J306" i="25"/>
  <c r="H71" i="25"/>
  <c r="H82" i="25"/>
  <c r="H84" i="25" s="1"/>
  <c r="H86" i="25" s="1"/>
  <c r="J283" i="25"/>
  <c r="K283" i="25" s="1"/>
  <c r="J272" i="25"/>
  <c r="J271" i="25"/>
  <c r="N324" i="25"/>
  <c r="N319" i="25" s="1"/>
  <c r="O323" i="25"/>
  <c r="O324" i="25" s="1"/>
  <c r="O319" i="25" s="1"/>
  <c r="J92" i="25"/>
  <c r="J29" i="25"/>
  <c r="J30" i="25" s="1"/>
  <c r="I283" i="25"/>
  <c r="I272" i="25"/>
  <c r="I271" i="25"/>
  <c r="H283" i="25"/>
  <c r="H272" i="25"/>
  <c r="H271" i="25"/>
  <c r="L102" i="25"/>
  <c r="L166" i="25"/>
  <c r="L278" i="25"/>
  <c r="L26" i="25"/>
  <c r="M63" i="25"/>
  <c r="L306" i="25"/>
  <c r="L288" i="25"/>
  <c r="L296" i="25"/>
  <c r="L227" i="25"/>
  <c r="L251" i="25"/>
  <c r="L37" i="25"/>
  <c r="L201" i="25"/>
  <c r="L266" i="25"/>
  <c r="K122" i="25"/>
  <c r="K50" i="25" s="1"/>
  <c r="L240" i="25"/>
  <c r="J298" i="25"/>
  <c r="J301" i="25" s="1"/>
  <c r="J79" i="25"/>
  <c r="J307" i="25"/>
  <c r="J76" i="25"/>
  <c r="I71" i="25"/>
  <c r="I82" i="25"/>
  <c r="I84" i="25" s="1"/>
  <c r="I86" i="25" s="1"/>
  <c r="J93" i="25" s="1"/>
  <c r="M289" i="25"/>
  <c r="M291" i="25" s="1"/>
  <c r="L126" i="25"/>
  <c r="K89" i="22"/>
  <c r="M158" i="22"/>
  <c r="M139" i="22"/>
  <c r="N158" i="22"/>
  <c r="N139" i="22"/>
  <c r="L274" i="22"/>
  <c r="L269" i="22" s="1"/>
  <c r="L158" i="22"/>
  <c r="L139" i="22"/>
  <c r="O154" i="22"/>
  <c r="L26" i="22"/>
  <c r="L246" i="22" s="1"/>
  <c r="I53" i="22"/>
  <c r="I104" i="22"/>
  <c r="I108" i="22"/>
  <c r="K64" i="24"/>
  <c r="H71" i="24"/>
  <c r="H82" i="24"/>
  <c r="H84" i="24" s="1"/>
  <c r="H86" i="24" s="1"/>
  <c r="J28" i="24"/>
  <c r="I73" i="24"/>
  <c r="I96" i="24"/>
  <c r="H293" i="24"/>
  <c r="H253" i="24"/>
  <c r="H283" i="24"/>
  <c r="H265" i="24"/>
  <c r="H275" i="24"/>
  <c r="J148" i="24"/>
  <c r="J149" i="24" s="1"/>
  <c r="J112" i="24"/>
  <c r="J130" i="24" s="1"/>
  <c r="I63" i="24"/>
  <c r="J68" i="24"/>
  <c r="I82" i="24"/>
  <c r="I84" i="24" s="1"/>
  <c r="I86" i="24" s="1"/>
  <c r="K284" i="24"/>
  <c r="K215" i="24"/>
  <c r="K102" i="24"/>
  <c r="K276" i="24"/>
  <c r="K266" i="24"/>
  <c r="K189" i="24"/>
  <c r="K294" i="24"/>
  <c r="K254" i="24"/>
  <c r="K239" i="24"/>
  <c r="J284" i="24"/>
  <c r="J276" i="24"/>
  <c r="J266" i="24"/>
  <c r="J294" i="24"/>
  <c r="L63" i="24"/>
  <c r="H90" i="24"/>
  <c r="K154" i="24"/>
  <c r="K232" i="24"/>
  <c r="K233" i="24" s="1"/>
  <c r="L228" i="24"/>
  <c r="M277" i="24"/>
  <c r="M279" i="24" s="1"/>
  <c r="L126" i="24"/>
  <c r="H148" i="24"/>
  <c r="H149" i="24" s="1"/>
  <c r="H112" i="24"/>
  <c r="H130" i="24" s="1"/>
  <c r="I144" i="24"/>
  <c r="J250" i="24"/>
  <c r="J143" i="24"/>
  <c r="J139" i="24"/>
  <c r="J254" i="24"/>
  <c r="O311" i="24"/>
  <c r="O312" i="24" s="1"/>
  <c r="O307" i="24" s="1"/>
  <c r="J138" i="24"/>
  <c r="I141" i="24"/>
  <c r="H145" i="24"/>
  <c r="J299" i="24"/>
  <c r="K299" i="24" s="1"/>
  <c r="L299" i="24" s="1"/>
  <c r="M299" i="24" s="1"/>
  <c r="N299" i="24" s="1"/>
  <c r="O299" i="24" s="1"/>
  <c r="H139" i="24"/>
  <c r="I145" i="24"/>
  <c r="I139" i="24"/>
  <c r="H143" i="24"/>
  <c r="J145" i="24"/>
  <c r="H249" i="24"/>
  <c r="H146" i="24"/>
  <c r="I249" i="24"/>
  <c r="H250" i="24"/>
  <c r="H140" i="24"/>
  <c r="I146" i="24"/>
  <c r="J249" i="24"/>
  <c r="I250" i="24"/>
  <c r="K27" i="22"/>
  <c r="J93" i="22"/>
  <c r="J101" i="22"/>
  <c r="J108" i="22"/>
  <c r="J211" i="22"/>
  <c r="J233" i="22" s="1"/>
  <c r="K233" i="22" s="1"/>
  <c r="L233" i="22" s="1"/>
  <c r="J26" i="22"/>
  <c r="J246" i="22" s="1"/>
  <c r="H107" i="22"/>
  <c r="H102" i="22"/>
  <c r="I109" i="22"/>
  <c r="I212" i="22"/>
  <c r="H34" i="22"/>
  <c r="I102" i="22"/>
  <c r="J109" i="22"/>
  <c r="J107" i="22"/>
  <c r="J111" i="22"/>
  <c r="J112" i="22" s="1"/>
  <c r="J104" i="22"/>
  <c r="L117" i="22"/>
  <c r="K216" i="22"/>
  <c r="K269" i="22"/>
  <c r="J53" i="22"/>
  <c r="J106" i="22"/>
  <c r="K256" i="22"/>
  <c r="N239" i="22"/>
  <c r="N241" i="22" s="1"/>
  <c r="M89" i="22"/>
  <c r="H55" i="22"/>
  <c r="L89" i="22"/>
  <c r="H104" i="22"/>
  <c r="H101" i="22"/>
  <c r="H109" i="22"/>
  <c r="H108" i="22"/>
  <c r="H103" i="22"/>
  <c r="H237" i="22"/>
  <c r="H227" i="22"/>
  <c r="H255" i="22"/>
  <c r="H245" i="22"/>
  <c r="I34" i="22"/>
  <c r="I45" i="22"/>
  <c r="I47" i="22" s="1"/>
  <c r="I49" i="22" s="1"/>
  <c r="H111" i="22"/>
  <c r="H112" i="22" s="1"/>
  <c r="H75" i="22"/>
  <c r="H93" i="22" s="1"/>
  <c r="J34" i="22"/>
  <c r="J45" i="22"/>
  <c r="J47" i="22" s="1"/>
  <c r="J49" i="22" s="1"/>
  <c r="I111" i="22"/>
  <c r="I112" i="22" s="1"/>
  <c r="I75" i="22"/>
  <c r="I93" i="22" s="1"/>
  <c r="L192" i="22"/>
  <c r="L194" i="22" s="1"/>
  <c r="L195" i="22" s="1"/>
  <c r="H222" i="22"/>
  <c r="H221" i="22"/>
  <c r="L201" i="22"/>
  <c r="L65" i="22"/>
  <c r="L216" i="22"/>
  <c r="L151" i="22"/>
  <c r="O273" i="22"/>
  <c r="O274" i="22" s="1"/>
  <c r="O269" i="22" s="1"/>
  <c r="N274" i="22"/>
  <c r="N269" i="22" s="1"/>
  <c r="J65" i="22"/>
  <c r="K154" i="22"/>
  <c r="K85" i="22"/>
  <c r="K194" i="22"/>
  <c r="K195" i="22" s="1"/>
  <c r="J221" i="22"/>
  <c r="J216" i="22"/>
  <c r="M274" i="22"/>
  <c r="M269" i="22" s="1"/>
  <c r="K117" i="22"/>
  <c r="K246" i="22"/>
  <c r="K177" i="22"/>
  <c r="K65" i="22"/>
  <c r="K238" i="22"/>
  <c r="K228" i="22"/>
  <c r="K151" i="22"/>
  <c r="J102" i="22"/>
  <c r="I106" i="22"/>
  <c r="I211" i="22"/>
  <c r="H212" i="22"/>
  <c r="I103" i="22"/>
  <c r="J212" i="22"/>
  <c r="H138" i="20"/>
  <c r="I143" i="20"/>
  <c r="L192" i="20"/>
  <c r="L196" i="20" s="1"/>
  <c r="H128" i="20"/>
  <c r="H144" i="20"/>
  <c r="I148" i="20"/>
  <c r="I149" i="20" s="1"/>
  <c r="J144" i="20"/>
  <c r="L277" i="20"/>
  <c r="L279" i="20" s="1"/>
  <c r="M277" i="20" s="1"/>
  <c r="M279" i="20" s="1"/>
  <c r="K126" i="20"/>
  <c r="I144" i="20"/>
  <c r="I128" i="20"/>
  <c r="I130" i="20" s="1"/>
  <c r="J128" i="20"/>
  <c r="J130" i="20" s="1"/>
  <c r="H145" i="20"/>
  <c r="H146" i="20"/>
  <c r="K192" i="20"/>
  <c r="K196" i="20" s="1"/>
  <c r="N192" i="20"/>
  <c r="N196" i="20" s="1"/>
  <c r="K26" i="20"/>
  <c r="J26" i="20" s="1"/>
  <c r="I26" i="20" s="1"/>
  <c r="H26" i="20" s="1"/>
  <c r="L312" i="20"/>
  <c r="L307" i="20" s="1"/>
  <c r="H130" i="20"/>
  <c r="K266" i="20"/>
  <c r="I28" i="20"/>
  <c r="J28" i="20"/>
  <c r="K37" i="20"/>
  <c r="K64" i="20"/>
  <c r="K65" i="20" s="1"/>
  <c r="K134" i="20" s="1"/>
  <c r="L126" i="20"/>
  <c r="M63" i="20"/>
  <c r="L276" i="20"/>
  <c r="L284" i="20"/>
  <c r="L215" i="20"/>
  <c r="L37" i="20"/>
  <c r="L239" i="20"/>
  <c r="L189" i="20"/>
  <c r="L294" i="20"/>
  <c r="L254" i="20"/>
  <c r="L154" i="20"/>
  <c r="L102" i="20"/>
  <c r="L266" i="20"/>
  <c r="L26" i="20"/>
  <c r="H260" i="20"/>
  <c r="H259" i="20"/>
  <c r="H271" i="20"/>
  <c r="I260" i="20"/>
  <c r="I259" i="20"/>
  <c r="I271" i="20"/>
  <c r="J260" i="20"/>
  <c r="J259" i="20"/>
  <c r="J271" i="20"/>
  <c r="K271" i="20" s="1"/>
  <c r="K122" i="20"/>
  <c r="K50" i="20" s="1"/>
  <c r="L228" i="20"/>
  <c r="K232" i="20"/>
  <c r="K233" i="20" s="1"/>
  <c r="N311" i="20"/>
  <c r="M312" i="20"/>
  <c r="M307" i="20" s="1"/>
  <c r="H265" i="20"/>
  <c r="H275" i="20"/>
  <c r="H283" i="20"/>
  <c r="H293" i="20"/>
  <c r="H253" i="20"/>
  <c r="I145" i="20"/>
  <c r="K315" i="20"/>
  <c r="H68" i="20"/>
  <c r="K102" i="20"/>
  <c r="J145" i="20"/>
  <c r="O192" i="20"/>
  <c r="O196" i="20" s="1"/>
  <c r="I68" i="20"/>
  <c r="I138" i="20"/>
  <c r="K154" i="20"/>
  <c r="H250" i="20"/>
  <c r="J68" i="20"/>
  <c r="J138" i="20"/>
  <c r="I146" i="20"/>
  <c r="I250" i="20"/>
  <c r="K254" i="20"/>
  <c r="H139" i="20"/>
  <c r="J146" i="20"/>
  <c r="J250" i="20"/>
  <c r="K294" i="20"/>
  <c r="H148" i="20"/>
  <c r="H149" i="20" s="1"/>
  <c r="J139" i="20"/>
  <c r="K189" i="20"/>
  <c r="H140" i="20"/>
  <c r="J148" i="20"/>
  <c r="J149" i="20" s="1"/>
  <c r="K239" i="20"/>
  <c r="I140" i="20"/>
  <c r="J140" i="20"/>
  <c r="K215" i="20"/>
  <c r="K284" i="20"/>
  <c r="H141" i="20"/>
  <c r="K276" i="20"/>
  <c r="I141" i="20"/>
  <c r="J63" i="20"/>
  <c r="J141" i="20"/>
  <c r="L126" i="19"/>
  <c r="M277" i="19"/>
  <c r="M279" i="19" s="1"/>
  <c r="H260" i="19"/>
  <c r="H259" i="19"/>
  <c r="H271" i="19"/>
  <c r="I260" i="19"/>
  <c r="I259" i="19"/>
  <c r="I271" i="19"/>
  <c r="J260" i="19"/>
  <c r="J259" i="19"/>
  <c r="J271" i="19"/>
  <c r="K271" i="19" s="1"/>
  <c r="H63" i="19"/>
  <c r="I276" i="19"/>
  <c r="I284" i="19"/>
  <c r="I266" i="19"/>
  <c r="I294" i="19"/>
  <c r="I254" i="19"/>
  <c r="I102" i="19"/>
  <c r="H265" i="19"/>
  <c r="H275" i="19"/>
  <c r="H283" i="19"/>
  <c r="H293" i="19"/>
  <c r="H253" i="19"/>
  <c r="M63" i="19"/>
  <c r="L276" i="19"/>
  <c r="L284" i="19"/>
  <c r="L215" i="19"/>
  <c r="L37" i="19"/>
  <c r="L239" i="19"/>
  <c r="L189" i="19"/>
  <c r="L294" i="19"/>
  <c r="L254" i="19"/>
  <c r="L154" i="19"/>
  <c r="L102" i="19"/>
  <c r="L266" i="19"/>
  <c r="L26" i="19"/>
  <c r="K66" i="19"/>
  <c r="K68" i="19" s="1"/>
  <c r="K122" i="19"/>
  <c r="K50" i="19" s="1"/>
  <c r="L228" i="19"/>
  <c r="K232" i="19"/>
  <c r="K233" i="19" s="1"/>
  <c r="I130" i="19"/>
  <c r="H29" i="19"/>
  <c r="H30" i="19" s="1"/>
  <c r="H92" i="19"/>
  <c r="N311" i="19"/>
  <c r="M312" i="19"/>
  <c r="M307" i="19" s="1"/>
  <c r="H295" i="19"/>
  <c r="H76" i="19"/>
  <c r="H286" i="19"/>
  <c r="H289" i="19" s="1"/>
  <c r="H79" i="19"/>
  <c r="L67" i="19"/>
  <c r="L135" i="19" s="1"/>
  <c r="L251" i="19" s="1"/>
  <c r="J266" i="19"/>
  <c r="K133" i="19"/>
  <c r="K266" i="19"/>
  <c r="L133" i="19"/>
  <c r="M64" i="19"/>
  <c r="I145" i="19"/>
  <c r="K315" i="19"/>
  <c r="K102" i="19"/>
  <c r="J145" i="19"/>
  <c r="O192" i="19"/>
  <c r="O196" i="19" s="1"/>
  <c r="I68" i="19"/>
  <c r="I138" i="19"/>
  <c r="K154" i="19"/>
  <c r="H250" i="19"/>
  <c r="J254" i="19"/>
  <c r="K65" i="19"/>
  <c r="K134" i="19" s="1"/>
  <c r="J68" i="19"/>
  <c r="J138" i="19"/>
  <c r="I146" i="19"/>
  <c r="I250" i="19"/>
  <c r="K254" i="19"/>
  <c r="J294" i="19"/>
  <c r="K27" i="19"/>
  <c r="K28" i="19" s="1"/>
  <c r="L65" i="19"/>
  <c r="L134" i="19" s="1"/>
  <c r="H139" i="19"/>
  <c r="J146" i="19"/>
  <c r="J250" i="19"/>
  <c r="K294" i="19"/>
  <c r="L27" i="19"/>
  <c r="L28" i="19" s="1"/>
  <c r="H96" i="19"/>
  <c r="J139" i="19"/>
  <c r="K189" i="19"/>
  <c r="H140" i="19"/>
  <c r="J148" i="19"/>
  <c r="J149" i="19" s="1"/>
  <c r="K239" i="19"/>
  <c r="I140" i="19"/>
  <c r="J284" i="19"/>
  <c r="I141" i="19"/>
  <c r="J141" i="19"/>
  <c r="H260" i="18"/>
  <c r="H259" i="18"/>
  <c r="H271" i="18"/>
  <c r="I260" i="18"/>
  <c r="I259" i="18"/>
  <c r="I271" i="18"/>
  <c r="J260" i="18"/>
  <c r="J259" i="18"/>
  <c r="J271" i="18"/>
  <c r="K271" i="18" s="1"/>
  <c r="H265" i="18"/>
  <c r="H275" i="18"/>
  <c r="H283" i="18"/>
  <c r="H293" i="18"/>
  <c r="H253" i="18"/>
  <c r="K232" i="18"/>
  <c r="K233" i="18" s="1"/>
  <c r="K122" i="18"/>
  <c r="L228" i="18"/>
  <c r="I92" i="18"/>
  <c r="I130" i="18"/>
  <c r="I76" i="18"/>
  <c r="I286" i="18"/>
  <c r="I289" i="18" s="1"/>
  <c r="I79" i="18"/>
  <c r="L126" i="18"/>
  <c r="M277" i="18"/>
  <c r="M279" i="18" s="1"/>
  <c r="J266" i="18"/>
  <c r="K133" i="18"/>
  <c r="K266" i="18"/>
  <c r="L64" i="18"/>
  <c r="I145" i="18"/>
  <c r="K102" i="18"/>
  <c r="J145" i="18"/>
  <c r="O192" i="18"/>
  <c r="L102" i="18"/>
  <c r="I138" i="18"/>
  <c r="K154" i="18"/>
  <c r="H250" i="18"/>
  <c r="J254" i="18"/>
  <c r="K65" i="18"/>
  <c r="K134" i="18" s="1"/>
  <c r="J68" i="18"/>
  <c r="J138" i="18"/>
  <c r="I146" i="18"/>
  <c r="L154" i="18"/>
  <c r="I250" i="18"/>
  <c r="K254" i="18"/>
  <c r="J294" i="18"/>
  <c r="H139" i="18"/>
  <c r="J146" i="18"/>
  <c r="J250" i="18"/>
  <c r="K294" i="18"/>
  <c r="I139" i="18"/>
  <c r="H148" i="18"/>
  <c r="H149" i="18" s="1"/>
  <c r="L294" i="18"/>
  <c r="J139" i="18"/>
  <c r="K189" i="18"/>
  <c r="I96" i="18"/>
  <c r="H140" i="18"/>
  <c r="J148" i="18"/>
  <c r="J149" i="18" s="1"/>
  <c r="K239" i="18"/>
  <c r="I140" i="18"/>
  <c r="J284" i="18"/>
  <c r="J140" i="18"/>
  <c r="K215" i="18"/>
  <c r="J276" i="18"/>
  <c r="I141" i="18"/>
  <c r="J141" i="18"/>
  <c r="L228" i="6"/>
  <c r="L230" i="6" s="1"/>
  <c r="K122" i="6"/>
  <c r="H144" i="6"/>
  <c r="H112" i="6"/>
  <c r="H130" i="6" s="1"/>
  <c r="I144" i="6"/>
  <c r="K276" i="6"/>
  <c r="J112" i="6"/>
  <c r="H128" i="6"/>
  <c r="H141" i="6"/>
  <c r="I112" i="6"/>
  <c r="I130" i="6" s="1"/>
  <c r="I128" i="6"/>
  <c r="I141" i="6"/>
  <c r="J141" i="6"/>
  <c r="J143" i="6"/>
  <c r="J144" i="6"/>
  <c r="K215" i="6"/>
  <c r="I143" i="6"/>
  <c r="J63" i="6"/>
  <c r="J102" i="6" s="1"/>
  <c r="H149" i="6"/>
  <c r="H143" i="7"/>
  <c r="I143" i="7"/>
  <c r="J145" i="7"/>
  <c r="J63" i="7"/>
  <c r="H146" i="7"/>
  <c r="L64" i="7"/>
  <c r="L133" i="7" s="1"/>
  <c r="K154" i="7"/>
  <c r="H68" i="7"/>
  <c r="H82" i="7" s="1"/>
  <c r="H84" i="7" s="1"/>
  <c r="H86" i="7" s="1"/>
  <c r="H92" i="7" s="1"/>
  <c r="I148" i="7"/>
  <c r="I149" i="7" s="1"/>
  <c r="I68" i="7"/>
  <c r="I82" i="7" s="1"/>
  <c r="I84" i="7" s="1"/>
  <c r="I86" i="7" s="1"/>
  <c r="J148" i="7"/>
  <c r="J149" i="7" s="1"/>
  <c r="H144" i="7"/>
  <c r="I144" i="7"/>
  <c r="H250" i="7"/>
  <c r="I112" i="7"/>
  <c r="H138" i="7"/>
  <c r="J112" i="7"/>
  <c r="J130" i="7" s="1"/>
  <c r="I138" i="7"/>
  <c r="H141" i="7"/>
  <c r="K276" i="7"/>
  <c r="J82" i="8"/>
  <c r="J84" i="8" s="1"/>
  <c r="J86" i="8" s="1"/>
  <c r="I112" i="8"/>
  <c r="H141" i="8"/>
  <c r="I82" i="8"/>
  <c r="I84" i="8" s="1"/>
  <c r="I86" i="8" s="1"/>
  <c r="J112" i="8"/>
  <c r="J130" i="8" s="1"/>
  <c r="I141" i="8"/>
  <c r="H128" i="8"/>
  <c r="J141" i="8"/>
  <c r="I128" i="8"/>
  <c r="H143" i="8"/>
  <c r="I143" i="8"/>
  <c r="H68" i="8"/>
  <c r="H130" i="9"/>
  <c r="I139" i="9"/>
  <c r="I140" i="9"/>
  <c r="J140" i="9"/>
  <c r="H141" i="9"/>
  <c r="I141" i="9"/>
  <c r="K276" i="9"/>
  <c r="J141" i="9"/>
  <c r="H143" i="9"/>
  <c r="H148" i="9"/>
  <c r="H149" i="9" s="1"/>
  <c r="I148" i="9"/>
  <c r="I149" i="9" s="1"/>
  <c r="J148" i="9"/>
  <c r="J149" i="9" s="1"/>
  <c r="H249" i="9"/>
  <c r="I249" i="9"/>
  <c r="J63" i="9"/>
  <c r="K102" i="9"/>
  <c r="J249" i="9"/>
  <c r="K111" i="14"/>
  <c r="K163" i="14" s="1"/>
  <c r="K116" i="14"/>
  <c r="K166" i="14" s="1"/>
  <c r="K294" i="14"/>
  <c r="H144" i="14"/>
  <c r="L63" i="14"/>
  <c r="J102" i="14"/>
  <c r="I149" i="14"/>
  <c r="H82" i="14"/>
  <c r="H84" i="14" s="1"/>
  <c r="H86" i="14" s="1"/>
  <c r="H92" i="14" s="1"/>
  <c r="I249" i="14"/>
  <c r="I259" i="14" s="1"/>
  <c r="J250" i="14"/>
  <c r="I90" i="14"/>
  <c r="K276" i="14"/>
  <c r="K111" i="10"/>
  <c r="K116" i="10"/>
  <c r="K166" i="10" s="1"/>
  <c r="J63" i="10"/>
  <c r="J276" i="10" s="1"/>
  <c r="L64" i="10"/>
  <c r="I148" i="10"/>
  <c r="I149" i="10" s="1"/>
  <c r="H68" i="10"/>
  <c r="J148" i="10"/>
  <c r="J149" i="10" s="1"/>
  <c r="I128" i="10"/>
  <c r="J143" i="10"/>
  <c r="J128" i="10"/>
  <c r="H144" i="10"/>
  <c r="I144" i="10"/>
  <c r="L64" i="11"/>
  <c r="L67" i="11" s="1"/>
  <c r="L135" i="11" s="1"/>
  <c r="L251" i="11" s="1"/>
  <c r="I130" i="11"/>
  <c r="I68" i="11"/>
  <c r="I82" i="11" s="1"/>
  <c r="I84" i="11" s="1"/>
  <c r="I86" i="11" s="1"/>
  <c r="J130" i="11"/>
  <c r="J68" i="11"/>
  <c r="J82" i="11" s="1"/>
  <c r="J84" i="11" s="1"/>
  <c r="J86" i="11" s="1"/>
  <c r="H130" i="11"/>
  <c r="I143" i="11"/>
  <c r="I144" i="11"/>
  <c r="K26" i="11"/>
  <c r="J26" i="11" s="1"/>
  <c r="I26" i="11" s="1"/>
  <c r="H26" i="11" s="1"/>
  <c r="H144" i="11"/>
  <c r="L64" i="12"/>
  <c r="L133" i="12" s="1"/>
  <c r="L249" i="12" s="1"/>
  <c r="J140" i="12"/>
  <c r="H145" i="12"/>
  <c r="I145" i="12"/>
  <c r="J145" i="12"/>
  <c r="I68" i="12"/>
  <c r="J68" i="12"/>
  <c r="H82" i="12"/>
  <c r="H84" i="12" s="1"/>
  <c r="H86" i="12" s="1"/>
  <c r="H92" i="12" s="1"/>
  <c r="J130" i="12"/>
  <c r="J148" i="12"/>
  <c r="J149" i="12" s="1"/>
  <c r="H130" i="12"/>
  <c r="K154" i="12"/>
  <c r="I130" i="12"/>
  <c r="K215" i="12"/>
  <c r="K26" i="12"/>
  <c r="J26" i="12" s="1"/>
  <c r="I26" i="12" s="1"/>
  <c r="H26" i="12" s="1"/>
  <c r="I138" i="12"/>
  <c r="J63" i="13"/>
  <c r="L63" i="13"/>
  <c r="K215" i="13"/>
  <c r="K65" i="13"/>
  <c r="K97" i="15"/>
  <c r="I68" i="15"/>
  <c r="H68" i="16"/>
  <c r="H82" i="16" s="1"/>
  <c r="H84" i="16" s="1"/>
  <c r="H86" i="16" s="1"/>
  <c r="H92" i="16" s="1"/>
  <c r="I68" i="16"/>
  <c r="I82" i="16" s="1"/>
  <c r="I84" i="16" s="1"/>
  <c r="I86" i="16" s="1"/>
  <c r="J68" i="16"/>
  <c r="J82" i="16" s="1"/>
  <c r="J84" i="16" s="1"/>
  <c r="J86" i="16" s="1"/>
  <c r="K215" i="16"/>
  <c r="K26" i="16"/>
  <c r="J26" i="16" s="1"/>
  <c r="I26" i="16" s="1"/>
  <c r="H26" i="16" s="1"/>
  <c r="H249" i="16"/>
  <c r="I249" i="16"/>
  <c r="J249" i="16"/>
  <c r="K271" i="16" s="1"/>
  <c r="L271" i="16" s="1"/>
  <c r="M271" i="16" s="1"/>
  <c r="N271" i="16" s="1"/>
  <c r="O271" i="16" s="1"/>
  <c r="J63" i="16"/>
  <c r="I249" i="17"/>
  <c r="J249" i="17"/>
  <c r="K271" i="17" s="1"/>
  <c r="L271" i="17" s="1"/>
  <c r="M271" i="17" s="1"/>
  <c r="N271" i="17" s="1"/>
  <c r="O271" i="17" s="1"/>
  <c r="H265" i="17"/>
  <c r="H275" i="17"/>
  <c r="H293" i="17"/>
  <c r="H253" i="17"/>
  <c r="H283" i="17"/>
  <c r="J63" i="17"/>
  <c r="L63" i="17"/>
  <c r="K102" i="17"/>
  <c r="K284" i="17"/>
  <c r="K215" i="17"/>
  <c r="K254" i="17"/>
  <c r="K26" i="17"/>
  <c r="J26" i="17" s="1"/>
  <c r="I26" i="17" s="1"/>
  <c r="H26" i="17" s="1"/>
  <c r="K239" i="17"/>
  <c r="K294" i="17"/>
  <c r="K276" i="17"/>
  <c r="K189" i="17"/>
  <c r="K154" i="17"/>
  <c r="L97" i="16"/>
  <c r="L135" i="16"/>
  <c r="L251" i="16" s="1"/>
  <c r="L133" i="16"/>
  <c r="L249" i="16" s="1"/>
  <c r="H265" i="16"/>
  <c r="H275" i="16"/>
  <c r="H293" i="16"/>
  <c r="H253" i="16"/>
  <c r="H283" i="16"/>
  <c r="L90" i="16"/>
  <c r="M90" i="16" s="1"/>
  <c r="N90" i="16" s="1"/>
  <c r="O90" i="16" s="1"/>
  <c r="I93" i="16"/>
  <c r="I92" i="16"/>
  <c r="J93" i="16"/>
  <c r="J92" i="16"/>
  <c r="J284" i="16"/>
  <c r="H71" i="16"/>
  <c r="I71" i="16"/>
  <c r="J254" i="16"/>
  <c r="I63" i="16"/>
  <c r="J71" i="16"/>
  <c r="K254" i="16"/>
  <c r="L63" i="16"/>
  <c r="J294" i="16"/>
  <c r="K239" i="16"/>
  <c r="K294" i="16"/>
  <c r="K135" i="16"/>
  <c r="K251" i="16" s="1"/>
  <c r="K97" i="16"/>
  <c r="K276" i="16"/>
  <c r="K189" i="16"/>
  <c r="K154" i="16"/>
  <c r="H265" i="15"/>
  <c r="H275" i="15"/>
  <c r="H293" i="15"/>
  <c r="H253" i="15"/>
  <c r="H283" i="15"/>
  <c r="L91" i="15"/>
  <c r="M91" i="15" s="1"/>
  <c r="N91" i="15" s="1"/>
  <c r="O91" i="15" s="1"/>
  <c r="K67" i="15"/>
  <c r="K135" i="15" s="1"/>
  <c r="K251" i="15" s="1"/>
  <c r="H266" i="15"/>
  <c r="H276" i="15"/>
  <c r="H102" i="15"/>
  <c r="H294" i="15"/>
  <c r="H254" i="15"/>
  <c r="H284" i="15"/>
  <c r="L63" i="15"/>
  <c r="I284" i="15"/>
  <c r="J284" i="15"/>
  <c r="K284" i="15"/>
  <c r="K215" i="15"/>
  <c r="L64" i="15"/>
  <c r="I254" i="15"/>
  <c r="K154" i="15"/>
  <c r="J254" i="15"/>
  <c r="H68" i="15"/>
  <c r="K254" i="15"/>
  <c r="K26" i="15"/>
  <c r="J26" i="15" s="1"/>
  <c r="I26" i="15" s="1"/>
  <c r="H26" i="15" s="1"/>
  <c r="K65" i="15"/>
  <c r="J68" i="15"/>
  <c r="I294" i="15"/>
  <c r="I102" i="15"/>
  <c r="J294" i="15"/>
  <c r="J102" i="15"/>
  <c r="K239" i="15"/>
  <c r="I276" i="15"/>
  <c r="K294" i="15"/>
  <c r="K102" i="15"/>
  <c r="J276" i="15"/>
  <c r="K276" i="15"/>
  <c r="I266" i="15"/>
  <c r="K189" i="15"/>
  <c r="K182" i="14"/>
  <c r="L182" i="14"/>
  <c r="M182" i="14"/>
  <c r="J82" i="14"/>
  <c r="J84" i="14" s="1"/>
  <c r="J86" i="14" s="1"/>
  <c r="J71" i="14"/>
  <c r="H73" i="14"/>
  <c r="H96" i="14"/>
  <c r="H275" i="14"/>
  <c r="H283" i="14"/>
  <c r="H293" i="14"/>
  <c r="H253" i="14"/>
  <c r="H265" i="14"/>
  <c r="L91" i="14"/>
  <c r="M91" i="14" s="1"/>
  <c r="N91" i="14" s="1"/>
  <c r="O91" i="14" s="1"/>
  <c r="K67" i="14"/>
  <c r="K135" i="14" s="1"/>
  <c r="K251" i="14" s="1"/>
  <c r="K126" i="14"/>
  <c r="L277" i="14"/>
  <c r="L279" i="14" s="1"/>
  <c r="K65" i="14"/>
  <c r="I82" i="14"/>
  <c r="I84" i="14" s="1"/>
  <c r="I86" i="14" s="1"/>
  <c r="I71" i="14"/>
  <c r="I63" i="14"/>
  <c r="K102" i="14"/>
  <c r="K189" i="14"/>
  <c r="L276" i="14"/>
  <c r="L102" i="14"/>
  <c r="L189" i="14"/>
  <c r="I260" i="14"/>
  <c r="J90" i="14"/>
  <c r="K90" i="14" s="1"/>
  <c r="L90" i="14" s="1"/>
  <c r="M90" i="14" s="1"/>
  <c r="N90" i="14" s="1"/>
  <c r="O90" i="14" s="1"/>
  <c r="J144" i="14"/>
  <c r="H249" i="14"/>
  <c r="H145" i="14"/>
  <c r="M63" i="14"/>
  <c r="I112" i="14"/>
  <c r="I130" i="14" s="1"/>
  <c r="I145" i="14"/>
  <c r="J249" i="14"/>
  <c r="K104" i="14"/>
  <c r="J112" i="14"/>
  <c r="J130" i="14" s="1"/>
  <c r="H138" i="14"/>
  <c r="J145" i="14"/>
  <c r="K249" i="14"/>
  <c r="I138" i="14"/>
  <c r="H146" i="14"/>
  <c r="K154" i="14"/>
  <c r="J266" i="14"/>
  <c r="J138" i="14"/>
  <c r="I146" i="14"/>
  <c r="L154" i="14"/>
  <c r="K266" i="14"/>
  <c r="L64" i="14"/>
  <c r="H139" i="14"/>
  <c r="J146" i="14"/>
  <c r="K215" i="14"/>
  <c r="L266" i="14"/>
  <c r="I271" i="14"/>
  <c r="I139" i="14"/>
  <c r="L215" i="14"/>
  <c r="K26" i="14"/>
  <c r="J26" i="14" s="1"/>
  <c r="I26" i="14" s="1"/>
  <c r="H26" i="14" s="1"/>
  <c r="H140" i="14"/>
  <c r="H250" i="14"/>
  <c r="J254" i="14"/>
  <c r="L26" i="14"/>
  <c r="I140" i="14"/>
  <c r="I250" i="14"/>
  <c r="K254" i="14"/>
  <c r="J294" i="14"/>
  <c r="L254" i="14"/>
  <c r="K119" i="14"/>
  <c r="K167" i="14" s="1"/>
  <c r="L294" i="14"/>
  <c r="K106" i="14"/>
  <c r="K239" i="14"/>
  <c r="J284" i="14"/>
  <c r="H283" i="13"/>
  <c r="H293" i="13"/>
  <c r="H265" i="13"/>
  <c r="H275" i="13"/>
  <c r="H253" i="13"/>
  <c r="K134" i="13"/>
  <c r="K66" i="13"/>
  <c r="L215" i="13"/>
  <c r="J254" i="13"/>
  <c r="K254" i="13"/>
  <c r="L254" i="13"/>
  <c r="M63" i="13"/>
  <c r="K67" i="13"/>
  <c r="K135" i="13" s="1"/>
  <c r="K251" i="13" s="1"/>
  <c r="K97" i="13"/>
  <c r="K239" i="13"/>
  <c r="K133" i="13"/>
  <c r="L239" i="13"/>
  <c r="J276" i="13"/>
  <c r="L64" i="13"/>
  <c r="K276" i="13"/>
  <c r="L276" i="13"/>
  <c r="H68" i="13"/>
  <c r="K189" i="13"/>
  <c r="J266" i="13"/>
  <c r="K26" i="13"/>
  <c r="J26" i="13" s="1"/>
  <c r="I26" i="13" s="1"/>
  <c r="H26" i="13" s="1"/>
  <c r="I68" i="13"/>
  <c r="K154" i="13"/>
  <c r="L189" i="13"/>
  <c r="K266" i="13"/>
  <c r="J294" i="13"/>
  <c r="L26" i="13"/>
  <c r="J68" i="13"/>
  <c r="L154" i="13"/>
  <c r="H249" i="13"/>
  <c r="L266" i="13"/>
  <c r="K294" i="13"/>
  <c r="I249" i="13"/>
  <c r="L294" i="13"/>
  <c r="J102" i="13"/>
  <c r="K102" i="13"/>
  <c r="H96" i="12"/>
  <c r="H73" i="12"/>
  <c r="M91" i="12"/>
  <c r="N91" i="12" s="1"/>
  <c r="O91" i="12" s="1"/>
  <c r="K249" i="12"/>
  <c r="K104" i="12"/>
  <c r="K116" i="12"/>
  <c r="K166" i="12" s="1"/>
  <c r="K106" i="12"/>
  <c r="H283" i="12"/>
  <c r="H293" i="12"/>
  <c r="H265" i="12"/>
  <c r="H275" i="12"/>
  <c r="H253" i="12"/>
  <c r="M63" i="12"/>
  <c r="L215" i="12"/>
  <c r="L284" i="12"/>
  <c r="K67" i="12"/>
  <c r="K135" i="12" s="1"/>
  <c r="K251" i="12" s="1"/>
  <c r="K97" i="12"/>
  <c r="H250" i="12"/>
  <c r="L154" i="12"/>
  <c r="I250" i="12"/>
  <c r="K254" i="12"/>
  <c r="H139" i="12"/>
  <c r="J250" i="12"/>
  <c r="L254" i="12"/>
  <c r="I139" i="12"/>
  <c r="J139" i="12"/>
  <c r="K239" i="12"/>
  <c r="L26" i="12"/>
  <c r="K65" i="12"/>
  <c r="K134" i="12" s="1"/>
  <c r="L239" i="12"/>
  <c r="K276" i="12"/>
  <c r="L276" i="12"/>
  <c r="K102" i="12"/>
  <c r="K189" i="12"/>
  <c r="L102" i="12"/>
  <c r="L189" i="12"/>
  <c r="K266" i="12"/>
  <c r="H143" i="12"/>
  <c r="L266" i="12"/>
  <c r="K294" i="12"/>
  <c r="I143" i="12"/>
  <c r="J143" i="12"/>
  <c r="J63" i="12"/>
  <c r="H283" i="11"/>
  <c r="H253" i="11"/>
  <c r="H293" i="11"/>
  <c r="H265" i="11"/>
  <c r="H275" i="11"/>
  <c r="L90" i="11"/>
  <c r="K65" i="11"/>
  <c r="K134" i="11" s="1"/>
  <c r="I93" i="11"/>
  <c r="I92" i="11"/>
  <c r="J93" i="11"/>
  <c r="J92" i="11"/>
  <c r="K239" i="11"/>
  <c r="K133" i="11"/>
  <c r="J144" i="11"/>
  <c r="L133" i="11"/>
  <c r="H145" i="11"/>
  <c r="I145" i="11"/>
  <c r="H138" i="11"/>
  <c r="J145" i="11"/>
  <c r="K189" i="11"/>
  <c r="I138" i="11"/>
  <c r="H146" i="11"/>
  <c r="K154" i="11"/>
  <c r="J138" i="11"/>
  <c r="I146" i="11"/>
  <c r="H249" i="11"/>
  <c r="H71" i="11"/>
  <c r="H139" i="11"/>
  <c r="J146" i="11"/>
  <c r="I249" i="11"/>
  <c r="I71" i="11"/>
  <c r="I139" i="11"/>
  <c r="H148" i="11"/>
  <c r="H149" i="11" s="1"/>
  <c r="J249" i="11"/>
  <c r="K276" i="11"/>
  <c r="J71" i="11"/>
  <c r="K102" i="11"/>
  <c r="I148" i="11"/>
  <c r="I149" i="11" s="1"/>
  <c r="J63" i="11"/>
  <c r="H140" i="11"/>
  <c r="J148" i="11"/>
  <c r="J149" i="11" s="1"/>
  <c r="I140" i="11"/>
  <c r="K266" i="11"/>
  <c r="L63" i="11"/>
  <c r="J140" i="11"/>
  <c r="K215" i="11"/>
  <c r="K294" i="11"/>
  <c r="H250" i="11"/>
  <c r="K254" i="11"/>
  <c r="M182" i="10"/>
  <c r="H275" i="10"/>
  <c r="H283" i="10"/>
  <c r="H293" i="10"/>
  <c r="H253" i="10"/>
  <c r="H265" i="10"/>
  <c r="I82" i="10"/>
  <c r="I84" i="10" s="1"/>
  <c r="I86" i="10" s="1"/>
  <c r="I71" i="10"/>
  <c r="K163" i="10"/>
  <c r="J82" i="10"/>
  <c r="J84" i="10" s="1"/>
  <c r="J86" i="10" s="1"/>
  <c r="J71" i="10"/>
  <c r="L91" i="10"/>
  <c r="K67" i="10"/>
  <c r="K135" i="10" s="1"/>
  <c r="K251" i="10" s="1"/>
  <c r="J102" i="10"/>
  <c r="K276" i="10"/>
  <c r="I63" i="10"/>
  <c r="K102" i="10"/>
  <c r="K189" i="10"/>
  <c r="J90" i="10"/>
  <c r="K90" i="10" s="1"/>
  <c r="L90" i="10" s="1"/>
  <c r="M90" i="10" s="1"/>
  <c r="N90" i="10" s="1"/>
  <c r="O90" i="10" s="1"/>
  <c r="J144" i="10"/>
  <c r="H249" i="10"/>
  <c r="L63" i="10"/>
  <c r="H112" i="10"/>
  <c r="H130" i="10" s="1"/>
  <c r="L133" i="10"/>
  <c r="H145" i="10"/>
  <c r="I249" i="10"/>
  <c r="I112" i="10"/>
  <c r="I130" i="10" s="1"/>
  <c r="I145" i="10"/>
  <c r="J249" i="10"/>
  <c r="K104" i="10"/>
  <c r="J112" i="10"/>
  <c r="J130" i="10" s="1"/>
  <c r="H138" i="10"/>
  <c r="J145" i="10"/>
  <c r="K249" i="10"/>
  <c r="I138" i="10"/>
  <c r="H146" i="10"/>
  <c r="K154" i="10"/>
  <c r="J266" i="10"/>
  <c r="J138" i="10"/>
  <c r="I146" i="10"/>
  <c r="K266" i="10"/>
  <c r="H139" i="10"/>
  <c r="J146" i="10"/>
  <c r="K215" i="10"/>
  <c r="M64" i="10"/>
  <c r="I139" i="10"/>
  <c r="J139" i="10"/>
  <c r="K26" i="10"/>
  <c r="J26" i="10" s="1"/>
  <c r="I26" i="10" s="1"/>
  <c r="H26" i="10" s="1"/>
  <c r="H140" i="10"/>
  <c r="H250" i="10"/>
  <c r="J254" i="10"/>
  <c r="I140" i="10"/>
  <c r="I250" i="10"/>
  <c r="K254" i="10"/>
  <c r="J294" i="10"/>
  <c r="J140" i="10"/>
  <c r="K294" i="10"/>
  <c r="K119" i="10"/>
  <c r="K167" i="10" s="1"/>
  <c r="K106" i="10"/>
  <c r="K239" i="10"/>
  <c r="J284" i="10"/>
  <c r="H275" i="9"/>
  <c r="H283" i="9"/>
  <c r="H293" i="9"/>
  <c r="H253" i="9"/>
  <c r="H265" i="9"/>
  <c r="M64" i="9"/>
  <c r="L133" i="9"/>
  <c r="L67" i="9"/>
  <c r="L135" i="9" s="1"/>
  <c r="L251" i="9" s="1"/>
  <c r="H82" i="9"/>
  <c r="H84" i="9" s="1"/>
  <c r="H86" i="9" s="1"/>
  <c r="H92" i="9" s="1"/>
  <c r="H71" i="9"/>
  <c r="I82" i="9"/>
  <c r="I84" i="9" s="1"/>
  <c r="I86" i="9" s="1"/>
  <c r="I71" i="9"/>
  <c r="J82" i="9"/>
  <c r="J84" i="9" s="1"/>
  <c r="J86" i="9" s="1"/>
  <c r="J71" i="9"/>
  <c r="L277" i="9"/>
  <c r="L279" i="9" s="1"/>
  <c r="K126" i="9"/>
  <c r="J260" i="9"/>
  <c r="J102" i="9"/>
  <c r="H90" i="9"/>
  <c r="I90" i="9"/>
  <c r="J266" i="9"/>
  <c r="J90" i="9"/>
  <c r="K90" i="9" s="1"/>
  <c r="K266" i="9"/>
  <c r="H271" i="9"/>
  <c r="L63" i="9"/>
  <c r="I143" i="9"/>
  <c r="K215" i="9"/>
  <c r="I271" i="9"/>
  <c r="J143" i="9"/>
  <c r="K67" i="9"/>
  <c r="K135" i="9" s="1"/>
  <c r="K251" i="9" s="1"/>
  <c r="H144" i="9"/>
  <c r="I144" i="9"/>
  <c r="H250" i="9"/>
  <c r="J254" i="9"/>
  <c r="K133" i="9"/>
  <c r="J144" i="9"/>
  <c r="K254" i="9"/>
  <c r="J294" i="9"/>
  <c r="H145" i="9"/>
  <c r="J250" i="9"/>
  <c r="K294" i="9"/>
  <c r="I145" i="9"/>
  <c r="H138" i="9"/>
  <c r="J145" i="9"/>
  <c r="K189" i="9"/>
  <c r="K26" i="9"/>
  <c r="J26" i="9" s="1"/>
  <c r="I26" i="9" s="1"/>
  <c r="H26" i="9" s="1"/>
  <c r="I138" i="9"/>
  <c r="K154" i="9"/>
  <c r="K239" i="9"/>
  <c r="J138" i="9"/>
  <c r="J284" i="9"/>
  <c r="L91" i="8"/>
  <c r="M91" i="8" s="1"/>
  <c r="N91" i="8" s="1"/>
  <c r="O91" i="8" s="1"/>
  <c r="K67" i="8"/>
  <c r="K135" i="8" s="1"/>
  <c r="K251" i="8" s="1"/>
  <c r="J92" i="8"/>
  <c r="J93" i="8"/>
  <c r="H275" i="8"/>
  <c r="H283" i="8"/>
  <c r="H293" i="8"/>
  <c r="H253" i="8"/>
  <c r="H265" i="8"/>
  <c r="H130" i="8"/>
  <c r="I73" i="8"/>
  <c r="I96" i="8"/>
  <c r="J73" i="8"/>
  <c r="J96" i="8"/>
  <c r="K126" i="8"/>
  <c r="L277" i="8"/>
  <c r="L279" i="8" s="1"/>
  <c r="I92" i="8"/>
  <c r="H251" i="8"/>
  <c r="I251" i="8"/>
  <c r="H249" i="8"/>
  <c r="J251" i="8"/>
  <c r="I249" i="8"/>
  <c r="M64" i="8"/>
  <c r="J249" i="8"/>
  <c r="K65" i="8"/>
  <c r="K134" i="8" s="1"/>
  <c r="K133" i="8"/>
  <c r="K266" i="8"/>
  <c r="L65" i="8"/>
  <c r="L134" i="8" s="1"/>
  <c r="L133" i="8"/>
  <c r="H145" i="8"/>
  <c r="I145" i="8"/>
  <c r="H138" i="8"/>
  <c r="J145" i="8"/>
  <c r="I138" i="8"/>
  <c r="H146" i="8"/>
  <c r="K154" i="8"/>
  <c r="H250" i="8"/>
  <c r="J138" i="8"/>
  <c r="I146" i="8"/>
  <c r="I250" i="8"/>
  <c r="K254" i="8"/>
  <c r="J146" i="8"/>
  <c r="J250" i="8"/>
  <c r="K294" i="8"/>
  <c r="H148" i="8"/>
  <c r="H149" i="8" s="1"/>
  <c r="K102" i="8"/>
  <c r="K189" i="8"/>
  <c r="J63" i="8"/>
  <c r="K239" i="8"/>
  <c r="L63" i="8"/>
  <c r="K215" i="8"/>
  <c r="H275" i="7"/>
  <c r="H283" i="7"/>
  <c r="H293" i="7"/>
  <c r="H253" i="7"/>
  <c r="H265" i="7"/>
  <c r="M228" i="7"/>
  <c r="M230" i="7" s="1"/>
  <c r="L122" i="7"/>
  <c r="L90" i="7"/>
  <c r="M90" i="7" s="1"/>
  <c r="N90" i="7" s="1"/>
  <c r="O90" i="7" s="1"/>
  <c r="K65" i="7"/>
  <c r="I93" i="7"/>
  <c r="I92" i="7"/>
  <c r="I130" i="7"/>
  <c r="K126" i="7"/>
  <c r="L277" i="7"/>
  <c r="L279" i="7" s="1"/>
  <c r="K67" i="7"/>
  <c r="K135" i="7" s="1"/>
  <c r="K251" i="7" s="1"/>
  <c r="L91" i="7"/>
  <c r="M91" i="7" s="1"/>
  <c r="N91" i="7" s="1"/>
  <c r="O91" i="7" s="1"/>
  <c r="H251" i="7"/>
  <c r="I251" i="7"/>
  <c r="J68" i="7"/>
  <c r="H249" i="7"/>
  <c r="J251" i="7"/>
  <c r="I249" i="7"/>
  <c r="K122" i="7"/>
  <c r="J249" i="7"/>
  <c r="J266" i="7"/>
  <c r="K133" i="7"/>
  <c r="K266" i="7"/>
  <c r="H71" i="7"/>
  <c r="H145" i="7"/>
  <c r="I71" i="7"/>
  <c r="J102" i="7"/>
  <c r="I145" i="7"/>
  <c r="J138" i="7"/>
  <c r="I146" i="7"/>
  <c r="I250" i="7"/>
  <c r="K254" i="7"/>
  <c r="J294" i="7"/>
  <c r="L63" i="7"/>
  <c r="J146" i="7"/>
  <c r="J250" i="7"/>
  <c r="K294" i="7"/>
  <c r="H148" i="7"/>
  <c r="H149" i="7" s="1"/>
  <c r="K189" i="7"/>
  <c r="K239" i="7"/>
  <c r="J284" i="7"/>
  <c r="J254" i="7"/>
  <c r="K215" i="7"/>
  <c r="H275" i="6"/>
  <c r="H283" i="6"/>
  <c r="H293" i="6"/>
  <c r="H253" i="6"/>
  <c r="H265" i="6"/>
  <c r="K134" i="6"/>
  <c r="K66" i="6"/>
  <c r="J130" i="6"/>
  <c r="K126" i="6"/>
  <c r="L277" i="6"/>
  <c r="L279" i="6" s="1"/>
  <c r="H251" i="6"/>
  <c r="H249" i="6"/>
  <c r="I249" i="6"/>
  <c r="J249" i="6"/>
  <c r="K67" i="6"/>
  <c r="K135" i="6" s="1"/>
  <c r="K251" i="6" s="1"/>
  <c r="J266" i="6"/>
  <c r="K133" i="6"/>
  <c r="K266" i="6"/>
  <c r="L64" i="6"/>
  <c r="H145" i="6"/>
  <c r="I145" i="6"/>
  <c r="H68" i="6"/>
  <c r="K102" i="6"/>
  <c r="H138" i="6"/>
  <c r="J145" i="6"/>
  <c r="K26" i="6"/>
  <c r="J26" i="6" s="1"/>
  <c r="I26" i="6" s="1"/>
  <c r="H26" i="6" s="1"/>
  <c r="I68" i="6"/>
  <c r="I138" i="6"/>
  <c r="H146" i="6"/>
  <c r="K154" i="6"/>
  <c r="H250" i="6"/>
  <c r="J68" i="6"/>
  <c r="J138" i="6"/>
  <c r="I146" i="6"/>
  <c r="I250" i="6"/>
  <c r="K254" i="6"/>
  <c r="J294" i="6"/>
  <c r="J250" i="6"/>
  <c r="K294" i="6"/>
  <c r="L63" i="6"/>
  <c r="K189" i="6"/>
  <c r="K239" i="6"/>
  <c r="N168" i="27" l="1"/>
  <c r="N169" i="27" s="1"/>
  <c r="M27" i="30"/>
  <c r="M93" i="30" s="1"/>
  <c r="K101" i="30"/>
  <c r="M92" i="30"/>
  <c r="M85" i="30" s="1"/>
  <c r="M29" i="30"/>
  <c r="M94" i="30" s="1"/>
  <c r="L82" i="30"/>
  <c r="L45" i="30" s="1"/>
  <c r="L59" i="30" s="1"/>
  <c r="L85" i="30"/>
  <c r="L194" i="30" s="1"/>
  <c r="K82" i="27"/>
  <c r="K101" i="27" s="1"/>
  <c r="K194" i="30"/>
  <c r="K196" i="30" s="1"/>
  <c r="L28" i="30"/>
  <c r="L30" i="30" s="1"/>
  <c r="L44" i="30" s="1"/>
  <c r="L76" i="30"/>
  <c r="L104" i="30" s="1"/>
  <c r="M168" i="30"/>
  <c r="M169" i="30" s="1"/>
  <c r="N168" i="30"/>
  <c r="N169" i="30" s="1"/>
  <c r="N166" i="30"/>
  <c r="O164" i="30" s="1"/>
  <c r="H64" i="30"/>
  <c r="H186" i="30"/>
  <c r="O26" i="30"/>
  <c r="N29" i="30"/>
  <c r="N94" i="30" s="1"/>
  <c r="N92" i="30"/>
  <c r="N27" i="30"/>
  <c r="N93" i="30" s="1"/>
  <c r="K44" i="30"/>
  <c r="K46" i="30" s="1"/>
  <c r="K48" i="30" s="1"/>
  <c r="H35" i="30"/>
  <c r="H58" i="30"/>
  <c r="I54" i="30"/>
  <c r="I55" i="30"/>
  <c r="I35" i="30"/>
  <c r="I58" i="30"/>
  <c r="M175" i="30"/>
  <c r="M186" i="30"/>
  <c r="N25" i="30"/>
  <c r="M99" i="30"/>
  <c r="M151" i="30"/>
  <c r="M125" i="30"/>
  <c r="M64" i="30"/>
  <c r="N77" i="30"/>
  <c r="J187" i="30"/>
  <c r="J41" i="30"/>
  <c r="J89" i="30"/>
  <c r="K89" i="30" s="1"/>
  <c r="J56" i="30"/>
  <c r="J38" i="30"/>
  <c r="J55" i="30"/>
  <c r="M63" i="18"/>
  <c r="L284" i="18"/>
  <c r="L37" i="18"/>
  <c r="L215" i="18"/>
  <c r="L26" i="18"/>
  <c r="I63" i="18"/>
  <c r="J102" i="18"/>
  <c r="O196" i="18"/>
  <c r="O177" i="18"/>
  <c r="L276" i="18"/>
  <c r="L254" i="18"/>
  <c r="L266" i="18"/>
  <c r="L239" i="18"/>
  <c r="H82" i="18"/>
  <c r="H84" i="18" s="1"/>
  <c r="H86" i="18" s="1"/>
  <c r="H71" i="18"/>
  <c r="L189" i="18"/>
  <c r="K115" i="28"/>
  <c r="K177" i="28" s="1"/>
  <c r="K114" i="28"/>
  <c r="K176" i="28" s="1"/>
  <c r="K66" i="28"/>
  <c r="K68" i="28" s="1"/>
  <c r="K82" i="28" s="1"/>
  <c r="K105" i="28"/>
  <c r="K173" i="28" s="1"/>
  <c r="L27" i="28"/>
  <c r="L28" i="28" s="1"/>
  <c r="K133" i="28"/>
  <c r="K83" i="28" s="1"/>
  <c r="K97" i="28" s="1"/>
  <c r="K119" i="28"/>
  <c r="K179" i="28" s="1"/>
  <c r="K106" i="28"/>
  <c r="K174" i="28" s="1"/>
  <c r="L145" i="28"/>
  <c r="L136" i="28" s="1"/>
  <c r="K136" i="28"/>
  <c r="K269" i="28" s="1"/>
  <c r="K111" i="28"/>
  <c r="K175" i="28" s="1"/>
  <c r="K131" i="28"/>
  <c r="K104" i="28"/>
  <c r="K172" i="28" s="1"/>
  <c r="M64" i="28"/>
  <c r="M27" i="28" s="1"/>
  <c r="L67" i="28"/>
  <c r="L147" i="28" s="1"/>
  <c r="L115" i="28" s="1"/>
  <c r="I29" i="28"/>
  <c r="I30" i="28" s="1"/>
  <c r="I93" i="28"/>
  <c r="I92" i="28"/>
  <c r="J93" i="28"/>
  <c r="L66" i="28"/>
  <c r="M37" i="28"/>
  <c r="M227" i="28"/>
  <c r="M251" i="28"/>
  <c r="M201" i="28"/>
  <c r="M102" i="28"/>
  <c r="M166" i="28"/>
  <c r="M26" i="28"/>
  <c r="M261" i="28"/>
  <c r="N63" i="28"/>
  <c r="H261" i="28"/>
  <c r="H102" i="28"/>
  <c r="L114" i="28"/>
  <c r="L105" i="28"/>
  <c r="N279" i="28"/>
  <c r="N274" i="28" s="1"/>
  <c r="O278" i="28"/>
  <c r="O279" i="28" s="1"/>
  <c r="O274" i="28" s="1"/>
  <c r="L122" i="28"/>
  <c r="L50" i="28" s="1"/>
  <c r="M240" i="28"/>
  <c r="H73" i="28"/>
  <c r="H96" i="28"/>
  <c r="H92" i="28"/>
  <c r="H29" i="28"/>
  <c r="H30" i="28" s="1"/>
  <c r="J76" i="28"/>
  <c r="J262" i="28"/>
  <c r="J79" i="28"/>
  <c r="J140" i="28"/>
  <c r="K140" i="28" s="1"/>
  <c r="I96" i="28"/>
  <c r="I73" i="28"/>
  <c r="K28" i="27"/>
  <c r="K30" i="27" s="1"/>
  <c r="K44" i="27" s="1"/>
  <c r="K80" i="27"/>
  <c r="K109" i="27" s="1"/>
  <c r="K110" i="27" s="1"/>
  <c r="K85" i="27"/>
  <c r="K194" i="27" s="1"/>
  <c r="L29" i="27"/>
  <c r="L94" i="27" s="1"/>
  <c r="M26" i="27"/>
  <c r="M27" i="27" s="1"/>
  <c r="L27" i="27"/>
  <c r="L93" i="27" s="1"/>
  <c r="H35" i="27"/>
  <c r="H58" i="27"/>
  <c r="I58" i="27"/>
  <c r="I35" i="27"/>
  <c r="I55" i="27"/>
  <c r="I54" i="27"/>
  <c r="O166" i="27"/>
  <c r="O168" i="27" s="1"/>
  <c r="O169" i="27" s="1"/>
  <c r="H186" i="27"/>
  <c r="H64" i="27"/>
  <c r="M99" i="27"/>
  <c r="M151" i="27"/>
  <c r="M125" i="27"/>
  <c r="N25" i="27"/>
  <c r="M64" i="27"/>
  <c r="M175" i="27"/>
  <c r="M186" i="27"/>
  <c r="L82" i="27"/>
  <c r="L85" i="27"/>
  <c r="L80" i="27"/>
  <c r="L109" i="27" s="1"/>
  <c r="L110" i="27" s="1"/>
  <c r="J58" i="27"/>
  <c r="J35" i="27"/>
  <c r="J55" i="27"/>
  <c r="J54" i="27"/>
  <c r="M166" i="26"/>
  <c r="M102" i="26"/>
  <c r="M261" i="26"/>
  <c r="M251" i="26"/>
  <c r="K133" i="26"/>
  <c r="K83" i="26" s="1"/>
  <c r="K114" i="26"/>
  <c r="K176" i="26" s="1"/>
  <c r="M227" i="26"/>
  <c r="N63" i="26"/>
  <c r="O63" i="26" s="1"/>
  <c r="M37" i="26"/>
  <c r="M26" i="26"/>
  <c r="J73" i="26"/>
  <c r="J96" i="26"/>
  <c r="J92" i="26"/>
  <c r="J29" i="26"/>
  <c r="J30" i="26" s="1"/>
  <c r="J93" i="26"/>
  <c r="L65" i="26"/>
  <c r="L146" i="26" s="1"/>
  <c r="M27" i="26"/>
  <c r="M67" i="26"/>
  <c r="M147" i="26" s="1"/>
  <c r="M145" i="26"/>
  <c r="K106" i="26"/>
  <c r="K174" i="26" s="1"/>
  <c r="K131" i="25"/>
  <c r="K136" i="26"/>
  <c r="K269" i="26" s="1"/>
  <c r="K119" i="26"/>
  <c r="K179" i="26" s="1"/>
  <c r="K105" i="26"/>
  <c r="K173" i="26" s="1"/>
  <c r="K111" i="26"/>
  <c r="K175" i="26" s="1"/>
  <c r="L145" i="26"/>
  <c r="K131" i="26"/>
  <c r="K66" i="26"/>
  <c r="K68" i="26" s="1"/>
  <c r="K82" i="26" s="1"/>
  <c r="K116" i="26"/>
  <c r="K178" i="26" s="1"/>
  <c r="K104" i="26"/>
  <c r="K115" i="26"/>
  <c r="K177" i="26" s="1"/>
  <c r="N64" i="26"/>
  <c r="N145" i="26" s="1"/>
  <c r="L67" i="26"/>
  <c r="L147" i="26" s="1"/>
  <c r="L27" i="26"/>
  <c r="L28" i="26" s="1"/>
  <c r="K136" i="25"/>
  <c r="N279" i="26"/>
  <c r="N274" i="26" s="1"/>
  <c r="O278" i="26"/>
  <c r="O279" i="26" s="1"/>
  <c r="O274" i="26" s="1"/>
  <c r="H261" i="26"/>
  <c r="H102" i="26"/>
  <c r="M114" i="26"/>
  <c r="M105" i="26"/>
  <c r="M66" i="26"/>
  <c r="K106" i="25"/>
  <c r="K174" i="25" s="1"/>
  <c r="L242" i="26"/>
  <c r="L244" i="26" s="1"/>
  <c r="L245" i="26" s="1"/>
  <c r="I95" i="26"/>
  <c r="K119" i="25"/>
  <c r="K179" i="25" s="1"/>
  <c r="K262" i="25"/>
  <c r="K105" i="25"/>
  <c r="K173" i="25" s="1"/>
  <c r="K116" i="25"/>
  <c r="K178" i="25" s="1"/>
  <c r="K104" i="25"/>
  <c r="K172" i="25" s="1"/>
  <c r="K261" i="25"/>
  <c r="K269" i="25" s="1"/>
  <c r="K168" i="25" s="1"/>
  <c r="K83" i="25" s="1"/>
  <c r="K97" i="25" s="1"/>
  <c r="K66" i="25"/>
  <c r="K68" i="25" s="1"/>
  <c r="K82" i="25" s="1"/>
  <c r="M64" i="25"/>
  <c r="M27" i="25" s="1"/>
  <c r="K115" i="25"/>
  <c r="K177" i="25" s="1"/>
  <c r="L27" i="25"/>
  <c r="L28" i="25" s="1"/>
  <c r="L67" i="25"/>
  <c r="L147" i="25" s="1"/>
  <c r="L263" i="25" s="1"/>
  <c r="L65" i="25"/>
  <c r="L146" i="25" s="1"/>
  <c r="L114" i="25" s="1"/>
  <c r="K111" i="25"/>
  <c r="K175" i="25" s="1"/>
  <c r="L136" i="25"/>
  <c r="L131" i="25"/>
  <c r="I288" i="25"/>
  <c r="H63" i="25"/>
  <c r="H102" i="25" s="1"/>
  <c r="I296" i="25"/>
  <c r="I278" i="25"/>
  <c r="I266" i="25"/>
  <c r="I306" i="25"/>
  <c r="L106" i="25"/>
  <c r="L119" i="25"/>
  <c r="L261" i="25"/>
  <c r="L111" i="25"/>
  <c r="L104" i="25"/>
  <c r="L116" i="25"/>
  <c r="K176" i="25"/>
  <c r="H92" i="25"/>
  <c r="H29" i="25"/>
  <c r="H30" i="25" s="1"/>
  <c r="H73" i="25"/>
  <c r="H140" i="25" s="1"/>
  <c r="H96" i="25"/>
  <c r="L242" i="25"/>
  <c r="L244" i="25" s="1"/>
  <c r="L245" i="25" s="1"/>
  <c r="I92" i="25"/>
  <c r="I29" i="25"/>
  <c r="I30" i="25" s="1"/>
  <c r="I93" i="25"/>
  <c r="I73" i="25"/>
  <c r="I140" i="25" s="1"/>
  <c r="I96" i="25"/>
  <c r="M278" i="25"/>
  <c r="M26" i="25"/>
  <c r="N63" i="25"/>
  <c r="M288" i="25"/>
  <c r="M296" i="25"/>
  <c r="M227" i="25"/>
  <c r="M266" i="25"/>
  <c r="M251" i="25"/>
  <c r="M37" i="25"/>
  <c r="M201" i="25"/>
  <c r="M306" i="25"/>
  <c r="M102" i="25"/>
  <c r="M166" i="25"/>
  <c r="L283" i="25"/>
  <c r="N289" i="25"/>
  <c r="N291" i="25" s="1"/>
  <c r="M126" i="25"/>
  <c r="K158" i="22"/>
  <c r="K139" i="22"/>
  <c r="O158" i="22"/>
  <c r="O139" i="22"/>
  <c r="L228" i="22"/>
  <c r="L238" i="22"/>
  <c r="L177" i="22"/>
  <c r="L256" i="22"/>
  <c r="M26" i="22"/>
  <c r="L64" i="24"/>
  <c r="L133" i="24" s="1"/>
  <c r="K65" i="24"/>
  <c r="K134" i="24" s="1"/>
  <c r="K250" i="24" s="1"/>
  <c r="K27" i="24"/>
  <c r="K28" i="24" s="1"/>
  <c r="K67" i="24"/>
  <c r="K135" i="24" s="1"/>
  <c r="K251" i="24" s="1"/>
  <c r="K133" i="24"/>
  <c r="K111" i="24" s="1"/>
  <c r="I260" i="24"/>
  <c r="I259" i="24"/>
  <c r="I271" i="24"/>
  <c r="N277" i="24"/>
  <c r="N279" i="24" s="1"/>
  <c r="M126" i="24"/>
  <c r="I254" i="24"/>
  <c r="I284" i="24"/>
  <c r="I276" i="24"/>
  <c r="I266" i="24"/>
  <c r="I294" i="24"/>
  <c r="I102" i="24"/>
  <c r="H63" i="24"/>
  <c r="L230" i="24"/>
  <c r="H260" i="24"/>
  <c r="H259" i="24"/>
  <c r="H271" i="24"/>
  <c r="I286" i="24"/>
  <c r="I289" i="24" s="1"/>
  <c r="I295" i="24"/>
  <c r="I76" i="24"/>
  <c r="I79" i="24"/>
  <c r="J260" i="24"/>
  <c r="J259" i="24"/>
  <c r="J271" i="24"/>
  <c r="K271" i="24" s="1"/>
  <c r="L276" i="24"/>
  <c r="L266" i="24"/>
  <c r="L189" i="24"/>
  <c r="L294" i="24"/>
  <c r="L254" i="24"/>
  <c r="L239" i="24"/>
  <c r="L154" i="24"/>
  <c r="L37" i="24"/>
  <c r="L284" i="24"/>
  <c r="L215" i="24"/>
  <c r="M63" i="24"/>
  <c r="L26" i="24"/>
  <c r="L102" i="24"/>
  <c r="I29" i="24"/>
  <c r="I30" i="24" s="1"/>
  <c r="I92" i="24"/>
  <c r="I93" i="24"/>
  <c r="H29" i="24"/>
  <c r="H30" i="24" s="1"/>
  <c r="H92" i="24"/>
  <c r="J82" i="24"/>
  <c r="J84" i="24" s="1"/>
  <c r="J86" i="24" s="1"/>
  <c r="J71" i="24"/>
  <c r="H73" i="24"/>
  <c r="I94" i="24" s="1"/>
  <c r="H96" i="24"/>
  <c r="K96" i="22"/>
  <c r="K67" i="22" s="1"/>
  <c r="K30" i="22"/>
  <c r="K98" i="22" s="1"/>
  <c r="K213" i="22" s="1"/>
  <c r="K28" i="22"/>
  <c r="K97" i="22" s="1"/>
  <c r="L27" i="22"/>
  <c r="M27" i="22" s="1"/>
  <c r="J238" i="22"/>
  <c r="J256" i="22"/>
  <c r="I26" i="22"/>
  <c r="J228" i="22"/>
  <c r="J222" i="22"/>
  <c r="H36" i="22"/>
  <c r="H59" i="22"/>
  <c r="I222" i="22"/>
  <c r="I233" i="22"/>
  <c r="I221" i="22"/>
  <c r="I36" i="22"/>
  <c r="I59" i="22"/>
  <c r="M233" i="22"/>
  <c r="J55" i="22"/>
  <c r="J56" i="22"/>
  <c r="M190" i="22"/>
  <c r="L85" i="22"/>
  <c r="J59" i="22"/>
  <c r="J36" i="22"/>
  <c r="I55" i="22"/>
  <c r="I56" i="22"/>
  <c r="N89" i="22"/>
  <c r="O239" i="22"/>
  <c r="O241" i="22" s="1"/>
  <c r="O89" i="22" s="1"/>
  <c r="K68" i="6"/>
  <c r="L66" i="8"/>
  <c r="L65" i="12"/>
  <c r="L134" i="12" s="1"/>
  <c r="L115" i="12" s="1"/>
  <c r="L97" i="12"/>
  <c r="M64" i="12"/>
  <c r="L104" i="12"/>
  <c r="L116" i="12"/>
  <c r="L67" i="12"/>
  <c r="L135" i="12" s="1"/>
  <c r="L251" i="12" s="1"/>
  <c r="L106" i="12"/>
  <c r="K27" i="20"/>
  <c r="K28" i="20" s="1"/>
  <c r="L64" i="20"/>
  <c r="L133" i="20" s="1"/>
  <c r="K133" i="20"/>
  <c r="K67" i="20"/>
  <c r="K135" i="20" s="1"/>
  <c r="K251" i="20" s="1"/>
  <c r="J82" i="20"/>
  <c r="J84" i="20" s="1"/>
  <c r="J86" i="20" s="1"/>
  <c r="J71" i="20"/>
  <c r="O311" i="20"/>
  <c r="O312" i="20" s="1"/>
  <c r="O307" i="20" s="1"/>
  <c r="N312" i="20"/>
  <c r="N307" i="20" s="1"/>
  <c r="L230" i="20"/>
  <c r="L232" i="20" s="1"/>
  <c r="L233" i="20" s="1"/>
  <c r="K250" i="20"/>
  <c r="K114" i="20"/>
  <c r="K105" i="20"/>
  <c r="I82" i="20"/>
  <c r="I84" i="20" s="1"/>
  <c r="I86" i="20" s="1"/>
  <c r="I71" i="20"/>
  <c r="L271" i="20"/>
  <c r="M276" i="20"/>
  <c r="M284" i="20"/>
  <c r="M215" i="20"/>
  <c r="M26" i="20"/>
  <c r="M37" i="20"/>
  <c r="M239" i="20"/>
  <c r="M189" i="20"/>
  <c r="M294" i="20"/>
  <c r="M254" i="20"/>
  <c r="M154" i="20"/>
  <c r="M102" i="20"/>
  <c r="M266" i="20"/>
  <c r="N63" i="20"/>
  <c r="H82" i="20"/>
  <c r="H84" i="20" s="1"/>
  <c r="H86" i="20" s="1"/>
  <c r="H71" i="20"/>
  <c r="M126" i="20"/>
  <c r="N277" i="20"/>
  <c r="N279" i="20" s="1"/>
  <c r="I63" i="20"/>
  <c r="J276" i="20"/>
  <c r="J284" i="20"/>
  <c r="J294" i="20"/>
  <c r="J254" i="20"/>
  <c r="J102" i="20"/>
  <c r="J266" i="20"/>
  <c r="K66" i="20"/>
  <c r="K82" i="19"/>
  <c r="J82" i="19"/>
  <c r="J84" i="19" s="1"/>
  <c r="J86" i="19" s="1"/>
  <c r="J71" i="19"/>
  <c r="K250" i="19"/>
  <c r="K115" i="19"/>
  <c r="K165" i="19" s="1"/>
  <c r="K114" i="19"/>
  <c r="K105" i="19"/>
  <c r="H266" i="19"/>
  <c r="H276" i="19"/>
  <c r="H284" i="19"/>
  <c r="H294" i="19"/>
  <c r="H254" i="19"/>
  <c r="H102" i="19"/>
  <c r="L271" i="19"/>
  <c r="I82" i="19"/>
  <c r="I84" i="19" s="1"/>
  <c r="I86" i="19" s="1"/>
  <c r="I71" i="19"/>
  <c r="O311" i="19"/>
  <c r="O312" i="19" s="1"/>
  <c r="O307" i="19" s="1"/>
  <c r="N312" i="19"/>
  <c r="N307" i="19" s="1"/>
  <c r="M276" i="19"/>
  <c r="M284" i="19"/>
  <c r="M215" i="19"/>
  <c r="M37" i="19"/>
  <c r="M239" i="19"/>
  <c r="M189" i="19"/>
  <c r="M294" i="19"/>
  <c r="M254" i="19"/>
  <c r="M154" i="19"/>
  <c r="M102" i="19"/>
  <c r="M266" i="19"/>
  <c r="M26" i="19"/>
  <c r="N63" i="19"/>
  <c r="M27" i="19"/>
  <c r="M28" i="19" s="1"/>
  <c r="M65" i="19"/>
  <c r="M134" i="19" s="1"/>
  <c r="N64" i="19"/>
  <c r="M133" i="19"/>
  <c r="M67" i="19"/>
  <c r="M135" i="19" s="1"/>
  <c r="M251" i="19" s="1"/>
  <c r="L250" i="19"/>
  <c r="L115" i="19"/>
  <c r="L114" i="19"/>
  <c r="L105" i="19"/>
  <c r="L104" i="19"/>
  <c r="L116" i="19"/>
  <c r="L111" i="19"/>
  <c r="L106" i="19"/>
  <c r="L119" i="19"/>
  <c r="L249" i="19"/>
  <c r="L230" i="19"/>
  <c r="L232" i="19"/>
  <c r="L233" i="19" s="1"/>
  <c r="M126" i="19"/>
  <c r="N277" i="19"/>
  <c r="N279" i="19" s="1"/>
  <c r="K249" i="19"/>
  <c r="K104" i="19"/>
  <c r="K116" i="19"/>
  <c r="K166" i="19" s="1"/>
  <c r="K111" i="19"/>
  <c r="K106" i="19"/>
  <c r="K119" i="19"/>
  <c r="K167" i="19" s="1"/>
  <c r="L66" i="19"/>
  <c r="L68" i="19" s="1"/>
  <c r="K105" i="18"/>
  <c r="K250" i="18"/>
  <c r="K115" i="18"/>
  <c r="K165" i="18" s="1"/>
  <c r="K114" i="18"/>
  <c r="K66" i="18"/>
  <c r="K68" i="18" s="1"/>
  <c r="L271" i="18"/>
  <c r="L65" i="18"/>
  <c r="L134" i="18" s="1"/>
  <c r="M64" i="18"/>
  <c r="L133" i="18"/>
  <c r="L67" i="18"/>
  <c r="L135" i="18" s="1"/>
  <c r="L251" i="18" s="1"/>
  <c r="K104" i="18"/>
  <c r="K116" i="18"/>
  <c r="K166" i="18" s="1"/>
  <c r="K111" i="18"/>
  <c r="K249" i="18"/>
  <c r="K269" i="18" s="1"/>
  <c r="K106" i="18"/>
  <c r="K119" i="18"/>
  <c r="K167" i="18" s="1"/>
  <c r="M126" i="18"/>
  <c r="N277" i="18"/>
  <c r="N279" i="18" s="1"/>
  <c r="J82" i="18"/>
  <c r="J84" i="18" s="1"/>
  <c r="J86" i="18" s="1"/>
  <c r="J71" i="18"/>
  <c r="L230" i="18"/>
  <c r="L232" i="18"/>
  <c r="L233" i="18" s="1"/>
  <c r="J254" i="6"/>
  <c r="J284" i="6"/>
  <c r="J276" i="6"/>
  <c r="I63" i="6"/>
  <c r="M64" i="7"/>
  <c r="M67" i="7" s="1"/>
  <c r="M135" i="7" s="1"/>
  <c r="M251" i="7" s="1"/>
  <c r="L65" i="7"/>
  <c r="L134" i="7" s="1"/>
  <c r="J276" i="7"/>
  <c r="I63" i="7"/>
  <c r="L67" i="8"/>
  <c r="L135" i="8" s="1"/>
  <c r="L251" i="8" s="1"/>
  <c r="L68" i="8"/>
  <c r="H71" i="8"/>
  <c r="H82" i="8"/>
  <c r="H84" i="8" s="1"/>
  <c r="H86" i="8" s="1"/>
  <c r="I130" i="8"/>
  <c r="J271" i="9"/>
  <c r="K271" i="9" s="1"/>
  <c r="L271" i="9" s="1"/>
  <c r="J259" i="9"/>
  <c r="J276" i="9"/>
  <c r="I63" i="9"/>
  <c r="I259" i="9"/>
  <c r="I260" i="9"/>
  <c r="H259" i="9"/>
  <c r="H260" i="9"/>
  <c r="L239" i="14"/>
  <c r="L284" i="14"/>
  <c r="H71" i="10"/>
  <c r="H82" i="10"/>
  <c r="H84" i="10" s="1"/>
  <c r="H86" i="10" s="1"/>
  <c r="H92" i="10" s="1"/>
  <c r="K66" i="11"/>
  <c r="K68" i="11" s="1"/>
  <c r="K71" i="11" s="1"/>
  <c r="M64" i="11"/>
  <c r="M67" i="11" s="1"/>
  <c r="M135" i="11" s="1"/>
  <c r="M251" i="11" s="1"/>
  <c r="L66" i="12"/>
  <c r="L68" i="12" s="1"/>
  <c r="L82" i="12" s="1"/>
  <c r="L84" i="12" s="1"/>
  <c r="L86" i="12" s="1"/>
  <c r="J71" i="12"/>
  <c r="J82" i="12"/>
  <c r="J84" i="12" s="1"/>
  <c r="J86" i="12" s="1"/>
  <c r="I71" i="12"/>
  <c r="I82" i="12"/>
  <c r="I84" i="12" s="1"/>
  <c r="I86" i="12" s="1"/>
  <c r="L102" i="13"/>
  <c r="L284" i="13"/>
  <c r="J284" i="13"/>
  <c r="I63" i="13"/>
  <c r="I71" i="15"/>
  <c r="I82" i="15"/>
  <c r="I84" i="15" s="1"/>
  <c r="I86" i="15" s="1"/>
  <c r="I92" i="15" s="1"/>
  <c r="J266" i="16"/>
  <c r="J102" i="16"/>
  <c r="J276" i="16"/>
  <c r="L189" i="17"/>
  <c r="L276" i="17"/>
  <c r="L294" i="17"/>
  <c r="L239" i="17"/>
  <c r="L26" i="17"/>
  <c r="L254" i="17"/>
  <c r="L215" i="17"/>
  <c r="L154" i="17"/>
  <c r="L284" i="17"/>
  <c r="L102" i="17"/>
  <c r="M63" i="17"/>
  <c r="L266" i="17"/>
  <c r="J266" i="17"/>
  <c r="J276" i="17"/>
  <c r="I63" i="17"/>
  <c r="J294" i="17"/>
  <c r="J254" i="17"/>
  <c r="J284" i="17"/>
  <c r="J102" i="17"/>
  <c r="I96" i="16"/>
  <c r="I73" i="16"/>
  <c r="H96" i="16"/>
  <c r="H73" i="16"/>
  <c r="K134" i="16"/>
  <c r="K250" i="16" s="1"/>
  <c r="L189" i="16"/>
  <c r="L276" i="16"/>
  <c r="L294" i="16"/>
  <c r="L239" i="16"/>
  <c r="M63" i="16"/>
  <c r="L254" i="16"/>
  <c r="L215" i="16"/>
  <c r="L284" i="16"/>
  <c r="L102" i="16"/>
  <c r="L154" i="16"/>
  <c r="L26" i="16"/>
  <c r="L266" i="16"/>
  <c r="J96" i="16"/>
  <c r="J73" i="16"/>
  <c r="I266" i="16"/>
  <c r="I276" i="16"/>
  <c r="I294" i="16"/>
  <c r="H63" i="16"/>
  <c r="I254" i="16"/>
  <c r="I284" i="16"/>
  <c r="I102" i="16"/>
  <c r="M97" i="16"/>
  <c r="M135" i="16"/>
  <c r="M251" i="16" s="1"/>
  <c r="M133" i="16"/>
  <c r="M249" i="16" s="1"/>
  <c r="M134" i="16"/>
  <c r="M250" i="16" s="1"/>
  <c r="L189" i="15"/>
  <c r="L276" i="15"/>
  <c r="L102" i="15"/>
  <c r="L294" i="15"/>
  <c r="L239" i="15"/>
  <c r="L26" i="15"/>
  <c r="L254" i="15"/>
  <c r="L154" i="15"/>
  <c r="L215" i="15"/>
  <c r="L284" i="15"/>
  <c r="M63" i="15"/>
  <c r="L266" i="15"/>
  <c r="J71" i="15"/>
  <c r="J82" i="15"/>
  <c r="J84" i="15" s="1"/>
  <c r="J86" i="15" s="1"/>
  <c r="K66" i="15"/>
  <c r="K68" i="15" s="1"/>
  <c r="K134" i="15"/>
  <c r="K250" i="15" s="1"/>
  <c r="H71" i="15"/>
  <c r="H82" i="15"/>
  <c r="H84" i="15" s="1"/>
  <c r="H86" i="15" s="1"/>
  <c r="L65" i="15"/>
  <c r="L134" i="15" s="1"/>
  <c r="L250" i="15" s="1"/>
  <c r="L133" i="15"/>
  <c r="L249" i="15" s="1"/>
  <c r="M64" i="15"/>
  <c r="L97" i="15"/>
  <c r="L67" i="15"/>
  <c r="L135" i="15" s="1"/>
  <c r="L251" i="15" s="1"/>
  <c r="I102" i="14"/>
  <c r="I276" i="14"/>
  <c r="H63" i="14"/>
  <c r="I284" i="14"/>
  <c r="I294" i="14"/>
  <c r="I254" i="14"/>
  <c r="I266" i="14"/>
  <c r="K257" i="14"/>
  <c r="K156" i="14" s="1"/>
  <c r="K83" i="14" s="1"/>
  <c r="K97" i="14" s="1"/>
  <c r="K256" i="14"/>
  <c r="I73" i="14"/>
  <c r="I96" i="14"/>
  <c r="I92" i="14"/>
  <c r="I93" i="14"/>
  <c r="K134" i="14"/>
  <c r="K66" i="14"/>
  <c r="K68" i="14" s="1"/>
  <c r="K160" i="14"/>
  <c r="L126" i="14"/>
  <c r="M277" i="14"/>
  <c r="M279" i="14" s="1"/>
  <c r="J271" i="14"/>
  <c r="K271" i="14" s="1"/>
  <c r="J259" i="14"/>
  <c r="J260" i="14"/>
  <c r="M239" i="14"/>
  <c r="M294" i="14"/>
  <c r="M254" i="14"/>
  <c r="M26" i="14"/>
  <c r="M215" i="14"/>
  <c r="M266" i="14"/>
  <c r="M154" i="14"/>
  <c r="N63" i="14"/>
  <c r="M189" i="14"/>
  <c r="M102" i="14"/>
  <c r="M276" i="14"/>
  <c r="M284" i="14"/>
  <c r="H259" i="14"/>
  <c r="H271" i="14"/>
  <c r="H260" i="14"/>
  <c r="K162" i="14"/>
  <c r="L65" i="14"/>
  <c r="L134" i="14" s="1"/>
  <c r="M64" i="14"/>
  <c r="L67" i="14"/>
  <c r="L135" i="14" s="1"/>
  <c r="L251" i="14" s="1"/>
  <c r="L133" i="14"/>
  <c r="H76" i="14"/>
  <c r="H79" i="14"/>
  <c r="J73" i="14"/>
  <c r="J96" i="14"/>
  <c r="J92" i="14"/>
  <c r="J93" i="14"/>
  <c r="H71" i="13"/>
  <c r="H82" i="13"/>
  <c r="H84" i="13" s="1"/>
  <c r="H86" i="13" s="1"/>
  <c r="H92" i="13" s="1"/>
  <c r="M102" i="13"/>
  <c r="M294" i="13"/>
  <c r="M266" i="13"/>
  <c r="M154" i="13"/>
  <c r="M26" i="13"/>
  <c r="M189" i="13"/>
  <c r="M276" i="13"/>
  <c r="M239" i="13"/>
  <c r="N63" i="13"/>
  <c r="M254" i="13"/>
  <c r="M215" i="13"/>
  <c r="M284" i="13"/>
  <c r="J82" i="13"/>
  <c r="J84" i="13" s="1"/>
  <c r="J86" i="13" s="1"/>
  <c r="J71" i="13"/>
  <c r="K68" i="13"/>
  <c r="L65" i="13"/>
  <c r="L134" i="13" s="1"/>
  <c r="M64" i="13"/>
  <c r="L133" i="13"/>
  <c r="L97" i="13"/>
  <c r="L67" i="13"/>
  <c r="L135" i="13" s="1"/>
  <c r="L251" i="13" s="1"/>
  <c r="K250" i="13"/>
  <c r="K249" i="13"/>
  <c r="I82" i="13"/>
  <c r="I84" i="13" s="1"/>
  <c r="I86" i="13" s="1"/>
  <c r="I71" i="13"/>
  <c r="M65" i="12"/>
  <c r="M134" i="12" s="1"/>
  <c r="N64" i="12"/>
  <c r="M97" i="12"/>
  <c r="M67" i="12"/>
  <c r="M135" i="12" s="1"/>
  <c r="M251" i="12" s="1"/>
  <c r="M133" i="12"/>
  <c r="L71" i="12"/>
  <c r="L162" i="12"/>
  <c r="K162" i="12"/>
  <c r="L160" i="12"/>
  <c r="K160" i="12"/>
  <c r="L114" i="12"/>
  <c r="L250" i="12"/>
  <c r="H79" i="12"/>
  <c r="H76" i="12"/>
  <c r="L166" i="12"/>
  <c r="K114" i="12"/>
  <c r="K250" i="12"/>
  <c r="K115" i="12"/>
  <c r="K165" i="12" s="1"/>
  <c r="K105" i="12"/>
  <c r="K107" i="12" s="1"/>
  <c r="M294" i="12"/>
  <c r="M266" i="12"/>
  <c r="M189" i="12"/>
  <c r="M102" i="12"/>
  <c r="M276" i="12"/>
  <c r="M239" i="12"/>
  <c r="M26" i="12"/>
  <c r="M254" i="12"/>
  <c r="M154" i="12"/>
  <c r="M215" i="12"/>
  <c r="N63" i="12"/>
  <c r="M284" i="12"/>
  <c r="J284" i="12"/>
  <c r="I63" i="12"/>
  <c r="J294" i="12"/>
  <c r="J266" i="12"/>
  <c r="J102" i="12"/>
  <c r="J276" i="12"/>
  <c r="J254" i="12"/>
  <c r="K66" i="12"/>
  <c r="K68" i="12" s="1"/>
  <c r="K82" i="11"/>
  <c r="J96" i="11"/>
  <c r="J73" i="11"/>
  <c r="L104" i="11"/>
  <c r="L116" i="11"/>
  <c r="L249" i="11"/>
  <c r="L111" i="11"/>
  <c r="L106" i="11"/>
  <c r="L119" i="11"/>
  <c r="K271" i="11"/>
  <c r="L271" i="11" s="1"/>
  <c r="M271" i="11" s="1"/>
  <c r="N271" i="11" s="1"/>
  <c r="O271" i="11" s="1"/>
  <c r="K104" i="11"/>
  <c r="K116" i="11"/>
  <c r="K166" i="11" s="1"/>
  <c r="K249" i="11"/>
  <c r="K111" i="11"/>
  <c r="K106" i="11"/>
  <c r="K119" i="11"/>
  <c r="K167" i="11" s="1"/>
  <c r="I96" i="11"/>
  <c r="I73" i="11"/>
  <c r="H96" i="11"/>
  <c r="H73" i="11"/>
  <c r="L254" i="11"/>
  <c r="L294" i="11"/>
  <c r="L215" i="11"/>
  <c r="M63" i="11"/>
  <c r="L266" i="11"/>
  <c r="L102" i="11"/>
  <c r="L276" i="11"/>
  <c r="L154" i="11"/>
  <c r="L189" i="11"/>
  <c r="L239" i="11"/>
  <c r="L26" i="11"/>
  <c r="L284" i="11"/>
  <c r="K115" i="11"/>
  <c r="K165" i="11" s="1"/>
  <c r="K250" i="11"/>
  <c r="K114" i="11"/>
  <c r="K105" i="11"/>
  <c r="M90" i="11"/>
  <c r="N90" i="11" s="1"/>
  <c r="O90" i="11" s="1"/>
  <c r="L65" i="11"/>
  <c r="J284" i="11"/>
  <c r="J254" i="11"/>
  <c r="J294" i="11"/>
  <c r="J266" i="11"/>
  <c r="I63" i="11"/>
  <c r="J102" i="11"/>
  <c r="J276" i="11"/>
  <c r="K257" i="10"/>
  <c r="K156" i="10" s="1"/>
  <c r="K83" i="10" s="1"/>
  <c r="K97" i="10" s="1"/>
  <c r="K256" i="10"/>
  <c r="K160" i="10"/>
  <c r="M91" i="10"/>
  <c r="N91" i="10" s="1"/>
  <c r="O91" i="10" s="1"/>
  <c r="L67" i="10"/>
  <c r="L135" i="10" s="1"/>
  <c r="L251" i="10" s="1"/>
  <c r="K271" i="10"/>
  <c r="J260" i="10"/>
  <c r="J259" i="10"/>
  <c r="J73" i="10"/>
  <c r="J96" i="10"/>
  <c r="I259" i="10"/>
  <c r="I260" i="10"/>
  <c r="J92" i="10"/>
  <c r="J93" i="10"/>
  <c r="M65" i="10"/>
  <c r="M134" i="10" s="1"/>
  <c r="N64" i="10"/>
  <c r="M133" i="10"/>
  <c r="M66" i="10"/>
  <c r="L106" i="10"/>
  <c r="L162" i="10" s="1"/>
  <c r="L119" i="10"/>
  <c r="L167" i="10" s="1"/>
  <c r="L249" i="10"/>
  <c r="L104" i="10"/>
  <c r="L116" i="10"/>
  <c r="L166" i="10" s="1"/>
  <c r="L111" i="10"/>
  <c r="I73" i="10"/>
  <c r="I96" i="10"/>
  <c r="L239" i="10"/>
  <c r="L102" i="10"/>
  <c r="L294" i="10"/>
  <c r="L254" i="10"/>
  <c r="L26" i="10"/>
  <c r="L215" i="10"/>
  <c r="L189" i="10"/>
  <c r="L266" i="10"/>
  <c r="L154" i="10"/>
  <c r="M63" i="10"/>
  <c r="L276" i="10"/>
  <c r="L284" i="10"/>
  <c r="I92" i="10"/>
  <c r="I93" i="10"/>
  <c r="H259" i="10"/>
  <c r="H260" i="10"/>
  <c r="L65" i="10"/>
  <c r="K65" i="10"/>
  <c r="K162" i="10"/>
  <c r="I102" i="10"/>
  <c r="I276" i="10"/>
  <c r="I284" i="10"/>
  <c r="I294" i="10"/>
  <c r="I254" i="10"/>
  <c r="I266" i="10"/>
  <c r="H63" i="10"/>
  <c r="J73" i="9"/>
  <c r="J96" i="9"/>
  <c r="L239" i="9"/>
  <c r="L154" i="9"/>
  <c r="L26" i="9"/>
  <c r="L189" i="9"/>
  <c r="L294" i="9"/>
  <c r="L254" i="9"/>
  <c r="L284" i="9"/>
  <c r="L215" i="9"/>
  <c r="M63" i="9"/>
  <c r="L266" i="9"/>
  <c r="L102" i="9"/>
  <c r="L276" i="9"/>
  <c r="J93" i="9"/>
  <c r="J92" i="9"/>
  <c r="I73" i="9"/>
  <c r="I96" i="9"/>
  <c r="I93" i="9"/>
  <c r="I92" i="9"/>
  <c r="K65" i="9"/>
  <c r="L90" i="9"/>
  <c r="H73" i="9"/>
  <c r="H96" i="9"/>
  <c r="L119" i="9"/>
  <c r="L104" i="9"/>
  <c r="L116" i="9"/>
  <c r="L249" i="9"/>
  <c r="L269" i="9" s="1"/>
  <c r="L157" i="9" s="1"/>
  <c r="L111" i="9"/>
  <c r="L106" i="9"/>
  <c r="K104" i="9"/>
  <c r="K106" i="9"/>
  <c r="K116" i="9"/>
  <c r="K166" i="9" s="1"/>
  <c r="K249" i="9"/>
  <c r="K111" i="9"/>
  <c r="K119" i="9"/>
  <c r="K167" i="9" s="1"/>
  <c r="N64" i="9"/>
  <c r="M133" i="9"/>
  <c r="M67" i="9"/>
  <c r="M135" i="9" s="1"/>
  <c r="M251" i="9" s="1"/>
  <c r="M271" i="9"/>
  <c r="M277" i="9"/>
  <c r="M279" i="9" s="1"/>
  <c r="L126" i="9"/>
  <c r="I79" i="8"/>
  <c r="I76" i="8"/>
  <c r="I286" i="8"/>
  <c r="I289" i="8" s="1"/>
  <c r="J271" i="8"/>
  <c r="K271" i="8" s="1"/>
  <c r="J259" i="8"/>
  <c r="J260" i="8"/>
  <c r="K250" i="8"/>
  <c r="K115" i="8"/>
  <c r="K165" i="8" s="1"/>
  <c r="K114" i="8"/>
  <c r="K105" i="8"/>
  <c r="M133" i="8"/>
  <c r="M65" i="8"/>
  <c r="M134" i="8" s="1"/>
  <c r="N64" i="8"/>
  <c r="M67" i="8"/>
  <c r="M135" i="8" s="1"/>
  <c r="M251" i="8" s="1"/>
  <c r="I259" i="8"/>
  <c r="I271" i="8"/>
  <c r="I260" i="8"/>
  <c r="H259" i="8"/>
  <c r="H271" i="8"/>
  <c r="H260" i="8"/>
  <c r="L126" i="8"/>
  <c r="M277" i="8"/>
  <c r="M279" i="8" s="1"/>
  <c r="L71" i="8"/>
  <c r="L82" i="8"/>
  <c r="J276" i="8"/>
  <c r="J284" i="8"/>
  <c r="I63" i="8"/>
  <c r="J102" i="8"/>
  <c r="J294" i="8"/>
  <c r="J254" i="8"/>
  <c r="J266" i="8"/>
  <c r="L116" i="8"/>
  <c r="L111" i="8"/>
  <c r="L106" i="8"/>
  <c r="L119" i="8"/>
  <c r="L249" i="8"/>
  <c r="L104" i="8"/>
  <c r="K66" i="8"/>
  <c r="K68" i="8" s="1"/>
  <c r="L250" i="8"/>
  <c r="L115" i="8"/>
  <c r="L165" i="8" s="1"/>
  <c r="L114" i="8"/>
  <c r="L105" i="8"/>
  <c r="J79" i="8"/>
  <c r="J76" i="8"/>
  <c r="J286" i="8"/>
  <c r="J289" i="8" s="1"/>
  <c r="J94" i="8"/>
  <c r="L239" i="8"/>
  <c r="L189" i="8"/>
  <c r="L102" i="8"/>
  <c r="L294" i="8"/>
  <c r="L284" i="8"/>
  <c r="L254" i="8"/>
  <c r="L154" i="8"/>
  <c r="L266" i="8"/>
  <c r="L215" i="8"/>
  <c r="L26" i="8"/>
  <c r="M63" i="8"/>
  <c r="L276" i="8"/>
  <c r="K116" i="8"/>
  <c r="K166" i="8" s="1"/>
  <c r="K111" i="8"/>
  <c r="K106" i="8"/>
  <c r="K119" i="8"/>
  <c r="K167" i="8" s="1"/>
  <c r="K249" i="8"/>
  <c r="K104" i="8"/>
  <c r="L239" i="7"/>
  <c r="L102" i="7"/>
  <c r="L189" i="7"/>
  <c r="L294" i="7"/>
  <c r="M63" i="7"/>
  <c r="L254" i="7"/>
  <c r="L154" i="7"/>
  <c r="L284" i="7"/>
  <c r="L266" i="7"/>
  <c r="L26" i="7"/>
  <c r="L215" i="7"/>
  <c r="L276" i="7"/>
  <c r="J271" i="7"/>
  <c r="K271" i="7" s="1"/>
  <c r="J260" i="7"/>
  <c r="J259" i="7"/>
  <c r="I259" i="7"/>
  <c r="I271" i="7"/>
  <c r="I260" i="7"/>
  <c r="K134" i="7"/>
  <c r="K66" i="7"/>
  <c r="K68" i="7" s="1"/>
  <c r="H259" i="7"/>
  <c r="H271" i="7"/>
  <c r="H260" i="7"/>
  <c r="J82" i="7"/>
  <c r="J84" i="7" s="1"/>
  <c r="J86" i="7" s="1"/>
  <c r="J71" i="7"/>
  <c r="N228" i="7"/>
  <c r="N230" i="7" s="1"/>
  <c r="M122" i="7"/>
  <c r="L250" i="7"/>
  <c r="L115" i="7"/>
  <c r="L114" i="7"/>
  <c r="L105" i="7"/>
  <c r="L106" i="7"/>
  <c r="L116" i="7"/>
  <c r="L166" i="7" s="1"/>
  <c r="L111" i="7"/>
  <c r="L249" i="7"/>
  <c r="L104" i="7"/>
  <c r="L119" i="7"/>
  <c r="L126" i="7"/>
  <c r="M277" i="7"/>
  <c r="M279" i="7" s="1"/>
  <c r="L66" i="7"/>
  <c r="L67" i="7"/>
  <c r="L135" i="7" s="1"/>
  <c r="L251" i="7" s="1"/>
  <c r="I96" i="7"/>
  <c r="I73" i="7"/>
  <c r="H96" i="7"/>
  <c r="H73" i="7"/>
  <c r="K116" i="7"/>
  <c r="K166" i="7" s="1"/>
  <c r="K111" i="7"/>
  <c r="K106" i="7"/>
  <c r="K119" i="7"/>
  <c r="K167" i="7" s="1"/>
  <c r="K249" i="7"/>
  <c r="K104" i="7"/>
  <c r="K82" i="6"/>
  <c r="K250" i="6"/>
  <c r="K115" i="6"/>
  <c r="K165" i="6" s="1"/>
  <c r="K114" i="6"/>
  <c r="K105" i="6"/>
  <c r="J82" i="6"/>
  <c r="J84" i="6" s="1"/>
  <c r="J86" i="6" s="1"/>
  <c r="J71" i="6"/>
  <c r="K116" i="6"/>
  <c r="K166" i="6" s="1"/>
  <c r="K111" i="6"/>
  <c r="K106" i="6"/>
  <c r="K119" i="6"/>
  <c r="K167" i="6" s="1"/>
  <c r="K249" i="6"/>
  <c r="K104" i="6"/>
  <c r="L65" i="6"/>
  <c r="L134" i="6" s="1"/>
  <c r="L66" i="6"/>
  <c r="M64" i="6"/>
  <c r="L133" i="6"/>
  <c r="L67" i="6"/>
  <c r="L135" i="6" s="1"/>
  <c r="L251" i="6" s="1"/>
  <c r="I82" i="6"/>
  <c r="I84" i="6" s="1"/>
  <c r="I86" i="6" s="1"/>
  <c r="I71" i="6"/>
  <c r="J271" i="6"/>
  <c r="K271" i="6" s="1"/>
  <c r="J260" i="6"/>
  <c r="J259" i="6"/>
  <c r="L239" i="6"/>
  <c r="L284" i="6"/>
  <c r="L189" i="6"/>
  <c r="L294" i="6"/>
  <c r="L254" i="6"/>
  <c r="L154" i="6"/>
  <c r="L26" i="6"/>
  <c r="L102" i="6"/>
  <c r="L266" i="6"/>
  <c r="L215" i="6"/>
  <c r="M63" i="6"/>
  <c r="L276" i="6"/>
  <c r="H259" i="6"/>
  <c r="H271" i="6"/>
  <c r="H260" i="6"/>
  <c r="M228" i="6"/>
  <c r="L122" i="6"/>
  <c r="I259" i="6"/>
  <c r="I260" i="6"/>
  <c r="I271" i="6"/>
  <c r="H82" i="6"/>
  <c r="H84" i="6" s="1"/>
  <c r="H86" i="6" s="1"/>
  <c r="H92" i="6" s="1"/>
  <c r="H71" i="6"/>
  <c r="L126" i="6"/>
  <c r="M277" i="6"/>
  <c r="M279" i="6" s="1"/>
  <c r="L101" i="30" l="1"/>
  <c r="L102" i="30"/>
  <c r="M28" i="30"/>
  <c r="M30" i="30" s="1"/>
  <c r="M44" i="30" s="1"/>
  <c r="M76" i="30"/>
  <c r="M104" i="30" s="1"/>
  <c r="K198" i="30"/>
  <c r="K200" i="30" s="1"/>
  <c r="K208" i="30" s="1"/>
  <c r="K209" i="30" s="1"/>
  <c r="K190" i="30" s="1"/>
  <c r="M80" i="30"/>
  <c r="M109" i="30" s="1"/>
  <c r="M110" i="30" s="1"/>
  <c r="M82" i="30"/>
  <c r="M101" i="30" s="1"/>
  <c r="K45" i="27"/>
  <c r="K59" i="27" s="1"/>
  <c r="L46" i="30"/>
  <c r="L48" i="30" s="1"/>
  <c r="L54" i="30" s="1"/>
  <c r="L89" i="30"/>
  <c r="J57" i="30"/>
  <c r="H187" i="30"/>
  <c r="H41" i="30"/>
  <c r="H89" i="30"/>
  <c r="H38" i="30"/>
  <c r="K54" i="30"/>
  <c r="K55" i="30"/>
  <c r="O77" i="30"/>
  <c r="N76" i="30"/>
  <c r="N85" i="30"/>
  <c r="N82" i="30"/>
  <c r="N80" i="30"/>
  <c r="N109" i="30" s="1"/>
  <c r="N110" i="30" s="1"/>
  <c r="N28" i="30"/>
  <c r="N30" i="30" s="1"/>
  <c r="O29" i="30"/>
  <c r="O94" i="30" s="1"/>
  <c r="O92" i="30"/>
  <c r="O27" i="30"/>
  <c r="O93" i="30" s="1"/>
  <c r="L196" i="30"/>
  <c r="L198" i="30"/>
  <c r="L200" i="30" s="1"/>
  <c r="L208" i="30" s="1"/>
  <c r="N186" i="30"/>
  <c r="O25" i="30"/>
  <c r="N151" i="30"/>
  <c r="N99" i="30"/>
  <c r="N125" i="30"/>
  <c r="N64" i="30"/>
  <c r="N175" i="30"/>
  <c r="M194" i="30"/>
  <c r="M102" i="30"/>
  <c r="O168" i="30"/>
  <c r="O169" i="30" s="1"/>
  <c r="O166" i="30"/>
  <c r="I41" i="30"/>
  <c r="I187" i="30"/>
  <c r="I89" i="30"/>
  <c r="I56" i="30"/>
  <c r="I38" i="30"/>
  <c r="H73" i="18"/>
  <c r="H96" i="18"/>
  <c r="I93" i="18"/>
  <c r="H92" i="18"/>
  <c r="I102" i="18"/>
  <c r="H63" i="18"/>
  <c r="I254" i="18"/>
  <c r="I276" i="18"/>
  <c r="I284" i="18"/>
  <c r="I294" i="18"/>
  <c r="I266" i="18"/>
  <c r="M189" i="18"/>
  <c r="N63" i="18"/>
  <c r="M276" i="18"/>
  <c r="M284" i="18"/>
  <c r="M215" i="18"/>
  <c r="M37" i="18"/>
  <c r="M239" i="18"/>
  <c r="M294" i="18"/>
  <c r="M254" i="18"/>
  <c r="M154" i="18"/>
  <c r="M102" i="18"/>
  <c r="M26" i="18"/>
  <c r="M266" i="18"/>
  <c r="L133" i="28"/>
  <c r="L83" i="28" s="1"/>
  <c r="L97" i="28" s="1"/>
  <c r="L131" i="28"/>
  <c r="L185" i="28" s="1"/>
  <c r="L186" i="28" s="1"/>
  <c r="L111" i="28"/>
  <c r="L175" i="28" s="1"/>
  <c r="L177" i="28"/>
  <c r="K117" i="28"/>
  <c r="M28" i="28"/>
  <c r="K109" i="28"/>
  <c r="L173" i="28"/>
  <c r="L116" i="28"/>
  <c r="L178" i="28" s="1"/>
  <c r="L104" i="28"/>
  <c r="L172" i="28" s="1"/>
  <c r="K185" i="28"/>
  <c r="K33" i="28" s="1"/>
  <c r="K169" i="28"/>
  <c r="N64" i="28"/>
  <c r="N65" i="28" s="1"/>
  <c r="N146" i="28" s="1"/>
  <c r="L119" i="28"/>
  <c r="L179" i="28" s="1"/>
  <c r="L106" i="28"/>
  <c r="L174" i="28" s="1"/>
  <c r="K168" i="28"/>
  <c r="L68" i="28"/>
  <c r="L82" i="28" s="1"/>
  <c r="M67" i="28"/>
  <c r="M147" i="28" s="1"/>
  <c r="M145" i="28"/>
  <c r="M116" i="28" s="1"/>
  <c r="M65" i="28"/>
  <c r="M146" i="28" s="1"/>
  <c r="M114" i="28" s="1"/>
  <c r="H76" i="28"/>
  <c r="H262" i="28"/>
  <c r="H79" i="28"/>
  <c r="H140" i="28"/>
  <c r="K273" i="28"/>
  <c r="K275" i="28" s="1"/>
  <c r="K283" i="28" s="1"/>
  <c r="K284" i="28" s="1"/>
  <c r="K271" i="28"/>
  <c r="M242" i="28"/>
  <c r="M244" i="28"/>
  <c r="M245" i="28" s="1"/>
  <c r="K84" i="28"/>
  <c r="L269" i="28"/>
  <c r="L169" i="28"/>
  <c r="K180" i="28"/>
  <c r="K41" i="28" s="1"/>
  <c r="N37" i="28"/>
  <c r="N227" i="28"/>
  <c r="N251" i="28"/>
  <c r="N201" i="28"/>
  <c r="N102" i="28"/>
  <c r="N166" i="28"/>
  <c r="N26" i="28"/>
  <c r="N261" i="28"/>
  <c r="O63" i="28"/>
  <c r="I94" i="28"/>
  <c r="I76" i="28"/>
  <c r="I262" i="28"/>
  <c r="I79" i="28"/>
  <c r="I140" i="28"/>
  <c r="L140" i="28"/>
  <c r="L176" i="28"/>
  <c r="J94" i="28"/>
  <c r="K102" i="27"/>
  <c r="L28" i="27"/>
  <c r="L30" i="27" s="1"/>
  <c r="L44" i="27" s="1"/>
  <c r="M92" i="27"/>
  <c r="M93" i="27"/>
  <c r="M28" i="27"/>
  <c r="M29" i="27"/>
  <c r="M94" i="27" s="1"/>
  <c r="N26" i="27"/>
  <c r="N27" i="27" s="1"/>
  <c r="N93" i="27" s="1"/>
  <c r="K198" i="27"/>
  <c r="K200" i="27" s="1"/>
  <c r="K208" i="27" s="1"/>
  <c r="K209" i="27" s="1"/>
  <c r="K196" i="27"/>
  <c r="J38" i="27"/>
  <c r="J187" i="27"/>
  <c r="J41" i="27"/>
  <c r="J89" i="27"/>
  <c r="K89" i="27" s="1"/>
  <c r="J56" i="27"/>
  <c r="L194" i="27"/>
  <c r="L102" i="27"/>
  <c r="L101" i="27"/>
  <c r="L45" i="27"/>
  <c r="L59" i="27" s="1"/>
  <c r="I38" i="27"/>
  <c r="I187" i="27"/>
  <c r="I41" i="27"/>
  <c r="I57" i="27" s="1"/>
  <c r="I89" i="27"/>
  <c r="I56" i="27"/>
  <c r="N99" i="27"/>
  <c r="N151" i="27"/>
  <c r="N125" i="27"/>
  <c r="N64" i="27"/>
  <c r="N175" i="27"/>
  <c r="N186" i="27"/>
  <c r="O25" i="27"/>
  <c r="H89" i="27"/>
  <c r="H38" i="27"/>
  <c r="H187" i="27"/>
  <c r="H41" i="27"/>
  <c r="N166" i="26"/>
  <c r="N102" i="26"/>
  <c r="N261" i="26"/>
  <c r="N201" i="26"/>
  <c r="K168" i="26"/>
  <c r="L136" i="26"/>
  <c r="N251" i="26"/>
  <c r="M131" i="26"/>
  <c r="M185" i="26" s="1"/>
  <c r="N227" i="26"/>
  <c r="N37" i="26"/>
  <c r="L114" i="26"/>
  <c r="L176" i="26" s="1"/>
  <c r="N26" i="26"/>
  <c r="J79" i="26"/>
  <c r="J95" i="26" s="1"/>
  <c r="J140" i="26"/>
  <c r="K140" i="26" s="1"/>
  <c r="L140" i="26" s="1"/>
  <c r="M140" i="26" s="1"/>
  <c r="N140" i="26" s="1"/>
  <c r="J262" i="26"/>
  <c r="J76" i="26"/>
  <c r="J94" i="26"/>
  <c r="K109" i="26"/>
  <c r="K185" i="26"/>
  <c r="K125" i="26"/>
  <c r="K169" i="26"/>
  <c r="M111" i="26"/>
  <c r="L66" i="26"/>
  <c r="L68" i="26" s="1"/>
  <c r="L82" i="26" s="1"/>
  <c r="L105" i="26"/>
  <c r="M173" i="26" s="1"/>
  <c r="M116" i="26"/>
  <c r="M104" i="26"/>
  <c r="M133" i="26"/>
  <c r="M68" i="26"/>
  <c r="M82" i="26" s="1"/>
  <c r="M115" i="26"/>
  <c r="M119" i="26"/>
  <c r="M106" i="26"/>
  <c r="M136" i="26"/>
  <c r="K97" i="26"/>
  <c r="N65" i="26"/>
  <c r="N146" i="26" s="1"/>
  <c r="N67" i="26"/>
  <c r="N147" i="26" s="1"/>
  <c r="L115" i="26"/>
  <c r="L177" i="26" s="1"/>
  <c r="L106" i="26"/>
  <c r="L174" i="26" s="1"/>
  <c r="O64" i="26"/>
  <c r="O145" i="26" s="1"/>
  <c r="M28" i="26"/>
  <c r="N27" i="26"/>
  <c r="N28" i="26" s="1"/>
  <c r="L111" i="26"/>
  <c r="L175" i="26" s="1"/>
  <c r="L133" i="26"/>
  <c r="L104" i="26"/>
  <c r="L116" i="26"/>
  <c r="L131" i="26"/>
  <c r="L185" i="26" s="1"/>
  <c r="K117" i="26"/>
  <c r="K172" i="26"/>
  <c r="K180" i="26" s="1"/>
  <c r="K41" i="26" s="1"/>
  <c r="L119" i="26"/>
  <c r="L179" i="26" s="1"/>
  <c r="N133" i="26"/>
  <c r="N136" i="26"/>
  <c r="N104" i="26"/>
  <c r="N116" i="26"/>
  <c r="N131" i="26"/>
  <c r="N185" i="26" s="1"/>
  <c r="N111" i="26"/>
  <c r="N106" i="26"/>
  <c r="N119" i="26"/>
  <c r="M240" i="26"/>
  <c r="L122" i="26"/>
  <c r="L50" i="26" s="1"/>
  <c r="O26" i="26"/>
  <c r="O37" i="26"/>
  <c r="O261" i="26"/>
  <c r="O227" i="26"/>
  <c r="O102" i="26"/>
  <c r="O251" i="26"/>
  <c r="O201" i="26"/>
  <c r="O166" i="26"/>
  <c r="K281" i="25"/>
  <c r="K314" i="25" s="1"/>
  <c r="L179" i="25"/>
  <c r="K268" i="25"/>
  <c r="K185" i="25" s="1"/>
  <c r="L178" i="25"/>
  <c r="M28" i="25"/>
  <c r="M65" i="25"/>
  <c r="M146" i="25" s="1"/>
  <c r="M114" i="25" s="1"/>
  <c r="M145" i="25"/>
  <c r="M133" i="25" s="1"/>
  <c r="L66" i="25"/>
  <c r="L68" i="25" s="1"/>
  <c r="L82" i="25" s="1"/>
  <c r="M67" i="25"/>
  <c r="M147" i="25" s="1"/>
  <c r="M263" i="25" s="1"/>
  <c r="N64" i="25"/>
  <c r="N145" i="25" s="1"/>
  <c r="N133" i="25" s="1"/>
  <c r="K117" i="25"/>
  <c r="L262" i="25"/>
  <c r="L115" i="25"/>
  <c r="L177" i="25" s="1"/>
  <c r="L105" i="25"/>
  <c r="L173" i="25" s="1"/>
  <c r="H266" i="25"/>
  <c r="H306" i="25"/>
  <c r="H296" i="25"/>
  <c r="H288" i="25"/>
  <c r="H278" i="25"/>
  <c r="K84" i="25"/>
  <c r="K86" i="25" s="1"/>
  <c r="K180" i="25"/>
  <c r="K41" i="25" s="1"/>
  <c r="L122" i="25"/>
  <c r="L50" i="25" s="1"/>
  <c r="M240" i="25"/>
  <c r="L269" i="25"/>
  <c r="L168" i="25" s="1"/>
  <c r="L83" i="25" s="1"/>
  <c r="L97" i="25" s="1"/>
  <c r="L268" i="25"/>
  <c r="L185" i="25" s="1"/>
  <c r="H298" i="25"/>
  <c r="H301" i="25" s="1"/>
  <c r="H79" i="25"/>
  <c r="H307" i="25"/>
  <c r="H76" i="25"/>
  <c r="N278" i="25"/>
  <c r="N26" i="25"/>
  <c r="O63" i="25"/>
  <c r="N288" i="25"/>
  <c r="N296" i="25"/>
  <c r="N227" i="25"/>
  <c r="N251" i="25"/>
  <c r="N37" i="25"/>
  <c r="N201" i="25"/>
  <c r="N166" i="25"/>
  <c r="N306" i="25"/>
  <c r="N266" i="25"/>
  <c r="N102" i="25"/>
  <c r="I298" i="25"/>
  <c r="I301" i="25" s="1"/>
  <c r="I79" i="25"/>
  <c r="I76" i="25"/>
  <c r="I94" i="25"/>
  <c r="I307" i="25"/>
  <c r="J94" i="25"/>
  <c r="L174" i="25"/>
  <c r="O289" i="25"/>
  <c r="O291" i="25" s="1"/>
  <c r="O126" i="25" s="1"/>
  <c r="N126" i="25"/>
  <c r="M283" i="25"/>
  <c r="L281" i="25"/>
  <c r="L172" i="25"/>
  <c r="L176" i="25"/>
  <c r="L175" i="25"/>
  <c r="K66" i="24"/>
  <c r="K68" i="24" s="1"/>
  <c r="K82" i="24" s="1"/>
  <c r="K104" i="24"/>
  <c r="K160" i="24" s="1"/>
  <c r="K119" i="24"/>
  <c r="K167" i="24" s="1"/>
  <c r="K116" i="24"/>
  <c r="K166" i="24" s="1"/>
  <c r="L27" i="24"/>
  <c r="L28" i="24" s="1"/>
  <c r="L67" i="24"/>
  <c r="L135" i="24" s="1"/>
  <c r="L251" i="24" s="1"/>
  <c r="M64" i="24"/>
  <c r="N64" i="24" s="1"/>
  <c r="L65" i="24"/>
  <c r="L134" i="24" s="1"/>
  <c r="L250" i="24" s="1"/>
  <c r="M151" i="22"/>
  <c r="M177" i="22"/>
  <c r="M256" i="22"/>
  <c r="M216" i="22"/>
  <c r="M246" i="22"/>
  <c r="M201" i="22"/>
  <c r="M65" i="22"/>
  <c r="M117" i="22"/>
  <c r="M238" i="22"/>
  <c r="M228" i="22"/>
  <c r="N26" i="22"/>
  <c r="K106" i="24"/>
  <c r="K162" i="24" s="1"/>
  <c r="K105" i="24"/>
  <c r="K161" i="24" s="1"/>
  <c r="K115" i="24"/>
  <c r="K165" i="24" s="1"/>
  <c r="K114" i="24"/>
  <c r="K164" i="24" s="1"/>
  <c r="K249" i="24"/>
  <c r="K256" i="24" s="1"/>
  <c r="J92" i="24"/>
  <c r="J93" i="24"/>
  <c r="J29" i="24"/>
  <c r="J30" i="24" s="1"/>
  <c r="M228" i="24"/>
  <c r="L122" i="24"/>
  <c r="L50" i="24" s="1"/>
  <c r="J96" i="24"/>
  <c r="J73" i="24"/>
  <c r="L271" i="24"/>
  <c r="L249" i="24"/>
  <c r="L119" i="24"/>
  <c r="L106" i="24"/>
  <c r="L111" i="24"/>
  <c r="L163" i="24" s="1"/>
  <c r="L116" i="24"/>
  <c r="L104" i="24"/>
  <c r="L232" i="24"/>
  <c r="L233" i="24" s="1"/>
  <c r="K163" i="24"/>
  <c r="H294" i="24"/>
  <c r="H254" i="24"/>
  <c r="H284" i="24"/>
  <c r="H276" i="24"/>
  <c r="H266" i="24"/>
  <c r="H102" i="24"/>
  <c r="O277" i="24"/>
  <c r="O279" i="24" s="1"/>
  <c r="O126" i="24" s="1"/>
  <c r="N126" i="24"/>
  <c r="M276" i="24"/>
  <c r="M266" i="24"/>
  <c r="M189" i="24"/>
  <c r="M294" i="24"/>
  <c r="M254" i="24"/>
  <c r="M239" i="24"/>
  <c r="M154" i="24"/>
  <c r="M284" i="24"/>
  <c r="M215" i="24"/>
  <c r="M102" i="24"/>
  <c r="N63" i="24"/>
  <c r="M26" i="24"/>
  <c r="M37" i="24"/>
  <c r="H295" i="24"/>
  <c r="H286" i="24"/>
  <c r="H289" i="24" s="1"/>
  <c r="H76" i="24"/>
  <c r="H79" i="24"/>
  <c r="I95" i="24" s="1"/>
  <c r="K78" i="22"/>
  <c r="K127" i="22" s="1"/>
  <c r="K29" i="22"/>
  <c r="K31" i="22" s="1"/>
  <c r="K45" i="22" s="1"/>
  <c r="K79" i="22"/>
  <c r="K128" i="22" s="1"/>
  <c r="K74" i="22"/>
  <c r="K125" i="22" s="1"/>
  <c r="K69" i="22"/>
  <c r="L28" i="22"/>
  <c r="L97" i="22" s="1"/>
  <c r="L212" i="22" s="1"/>
  <c r="L96" i="22"/>
  <c r="L74" i="22" s="1"/>
  <c r="L30" i="22"/>
  <c r="L98" i="22" s="1"/>
  <c r="L213" i="22" s="1"/>
  <c r="K82" i="22"/>
  <c r="K129" i="22" s="1"/>
  <c r="K211" i="22"/>
  <c r="K219" i="22" s="1"/>
  <c r="K119" i="22" s="1"/>
  <c r="K46" i="22" s="1"/>
  <c r="K60" i="22" s="1"/>
  <c r="K77" i="22"/>
  <c r="K126" i="22" s="1"/>
  <c r="K212" i="22"/>
  <c r="K68" i="22"/>
  <c r="K123" i="22" s="1"/>
  <c r="H248" i="22"/>
  <c r="H251" i="22" s="1"/>
  <c r="H257" i="22"/>
  <c r="H39" i="22"/>
  <c r="H42" i="22"/>
  <c r="I228" i="22"/>
  <c r="I65" i="22"/>
  <c r="I238" i="22"/>
  <c r="H26" i="22"/>
  <c r="I256" i="22"/>
  <c r="I216" i="22"/>
  <c r="I246" i="22"/>
  <c r="N27" i="22"/>
  <c r="M96" i="22"/>
  <c r="M28" i="22"/>
  <c r="M97" i="22" s="1"/>
  <c r="M30" i="22"/>
  <c r="M98" i="22" s="1"/>
  <c r="M213" i="22" s="1"/>
  <c r="K122" i="22"/>
  <c r="M194" i="22"/>
  <c r="M195" i="22" s="1"/>
  <c r="M192" i="22"/>
  <c r="I257" i="22"/>
  <c r="I57" i="22"/>
  <c r="I248" i="22"/>
  <c r="I251" i="22" s="1"/>
  <c r="I42" i="22"/>
  <c r="I39" i="22"/>
  <c r="J57" i="22"/>
  <c r="J257" i="22"/>
  <c r="J248" i="22"/>
  <c r="J251" i="22" s="1"/>
  <c r="J42" i="22"/>
  <c r="J39" i="22"/>
  <c r="N233" i="22"/>
  <c r="N64" i="7"/>
  <c r="M65" i="7"/>
  <c r="M134" i="7" s="1"/>
  <c r="M115" i="7" s="1"/>
  <c r="M165" i="7" s="1"/>
  <c r="M133" i="7"/>
  <c r="M116" i="7" s="1"/>
  <c r="M166" i="7" s="1"/>
  <c r="L105" i="12"/>
  <c r="L107" i="12" s="1"/>
  <c r="L66" i="15"/>
  <c r="L68" i="15" s="1"/>
  <c r="L27" i="20"/>
  <c r="L28" i="20" s="1"/>
  <c r="M64" i="20"/>
  <c r="M27" i="20" s="1"/>
  <c r="L65" i="20"/>
  <c r="L134" i="20" s="1"/>
  <c r="L250" i="20" s="1"/>
  <c r="K115" i="20"/>
  <c r="K165" i="20" s="1"/>
  <c r="K68" i="20"/>
  <c r="K82" i="20" s="1"/>
  <c r="L67" i="20"/>
  <c r="L135" i="20" s="1"/>
  <c r="L251" i="20" s="1"/>
  <c r="K104" i="20"/>
  <c r="K160" i="20" s="1"/>
  <c r="K116" i="20"/>
  <c r="K166" i="20" s="1"/>
  <c r="K111" i="20"/>
  <c r="K163" i="20" s="1"/>
  <c r="K106" i="20"/>
  <c r="K162" i="20" s="1"/>
  <c r="K119" i="20"/>
  <c r="K167" i="20" s="1"/>
  <c r="K249" i="20"/>
  <c r="L104" i="20"/>
  <c r="L116" i="20"/>
  <c r="L111" i="20"/>
  <c r="L106" i="20"/>
  <c r="L119" i="20"/>
  <c r="L249" i="20"/>
  <c r="L269" i="20" s="1"/>
  <c r="M271" i="20"/>
  <c r="N126" i="20"/>
  <c r="O277" i="20"/>
  <c r="O279" i="20" s="1"/>
  <c r="O126" i="20" s="1"/>
  <c r="I73" i="20"/>
  <c r="I96" i="20"/>
  <c r="I93" i="20"/>
  <c r="I92" i="20"/>
  <c r="I29" i="20"/>
  <c r="I30" i="20" s="1"/>
  <c r="K161" i="20"/>
  <c r="H73" i="20"/>
  <c r="H96" i="20"/>
  <c r="K164" i="20"/>
  <c r="H92" i="20"/>
  <c r="H29" i="20"/>
  <c r="H30" i="20" s="1"/>
  <c r="N276" i="20"/>
  <c r="N284" i="20"/>
  <c r="N215" i="20"/>
  <c r="N37" i="20"/>
  <c r="N239" i="20"/>
  <c r="N189" i="20"/>
  <c r="N294" i="20"/>
  <c r="N254" i="20"/>
  <c r="N154" i="20"/>
  <c r="N102" i="20"/>
  <c r="N266" i="20"/>
  <c r="N26" i="20"/>
  <c r="O63" i="20"/>
  <c r="L122" i="20"/>
  <c r="L50" i="20" s="1"/>
  <c r="M228" i="20"/>
  <c r="H63" i="20"/>
  <c r="I276" i="20"/>
  <c r="I284" i="20"/>
  <c r="I294" i="20"/>
  <c r="I254" i="20"/>
  <c r="I102" i="20"/>
  <c r="I266" i="20"/>
  <c r="J73" i="20"/>
  <c r="J96" i="20"/>
  <c r="J93" i="20"/>
  <c r="J92" i="20"/>
  <c r="J29" i="20"/>
  <c r="J30" i="20" s="1"/>
  <c r="K162" i="19"/>
  <c r="L162" i="19"/>
  <c r="M104" i="19"/>
  <c r="M116" i="19"/>
  <c r="M166" i="19" s="1"/>
  <c r="M111" i="19"/>
  <c r="M106" i="19"/>
  <c r="M162" i="19" s="1"/>
  <c r="M119" i="19"/>
  <c r="M167" i="19" s="1"/>
  <c r="M249" i="19"/>
  <c r="L163" i="19"/>
  <c r="K163" i="19"/>
  <c r="N27" i="19"/>
  <c r="N28" i="19" s="1"/>
  <c r="N65" i="19"/>
  <c r="N134" i="19" s="1"/>
  <c r="O64" i="19"/>
  <c r="N133" i="19"/>
  <c r="N67" i="19"/>
  <c r="N135" i="19" s="1"/>
  <c r="N251" i="19" s="1"/>
  <c r="I73" i="19"/>
  <c r="I96" i="19"/>
  <c r="K256" i="19"/>
  <c r="K257" i="19"/>
  <c r="K156" i="19" s="1"/>
  <c r="K83" i="19" s="1"/>
  <c r="K97" i="19" s="1"/>
  <c r="M66" i="19"/>
  <c r="M68" i="19" s="1"/>
  <c r="K269" i="19"/>
  <c r="L269" i="19"/>
  <c r="M271" i="19"/>
  <c r="N126" i="19"/>
  <c r="O277" i="19"/>
  <c r="O279" i="19" s="1"/>
  <c r="O126" i="19" s="1"/>
  <c r="N276" i="19"/>
  <c r="N284" i="19"/>
  <c r="N215" i="19"/>
  <c r="N37" i="19"/>
  <c r="N239" i="19"/>
  <c r="N189" i="19"/>
  <c r="N294" i="19"/>
  <c r="N254" i="19"/>
  <c r="N154" i="19"/>
  <c r="N102" i="19"/>
  <c r="N26" i="19"/>
  <c r="N266" i="19"/>
  <c r="O63" i="19"/>
  <c r="L122" i="19"/>
  <c r="L50" i="19" s="1"/>
  <c r="M228" i="19"/>
  <c r="L160" i="19"/>
  <c r="K160" i="19"/>
  <c r="L256" i="19"/>
  <c r="L173" i="19" s="1"/>
  <c r="L257" i="19"/>
  <c r="L156" i="19" s="1"/>
  <c r="L83" i="19" s="1"/>
  <c r="L97" i="19" s="1"/>
  <c r="M250" i="19"/>
  <c r="M115" i="19"/>
  <c r="M165" i="19" s="1"/>
  <c r="M114" i="19"/>
  <c r="M105" i="19"/>
  <c r="M161" i="19" s="1"/>
  <c r="L167" i="19"/>
  <c r="I93" i="19"/>
  <c r="I92" i="19"/>
  <c r="I29" i="19"/>
  <c r="I30" i="19" s="1"/>
  <c r="L161" i="19"/>
  <c r="K161" i="19"/>
  <c r="M160" i="19"/>
  <c r="J73" i="19"/>
  <c r="J96" i="19"/>
  <c r="L166" i="19"/>
  <c r="L164" i="19"/>
  <c r="L117" i="19"/>
  <c r="J93" i="19"/>
  <c r="J92" i="19"/>
  <c r="J29" i="19"/>
  <c r="J30" i="19" s="1"/>
  <c r="L165" i="19"/>
  <c r="K117" i="19"/>
  <c r="K164" i="19"/>
  <c r="L82" i="19"/>
  <c r="K157" i="18"/>
  <c r="K270" i="18"/>
  <c r="K82" i="18"/>
  <c r="N126" i="18"/>
  <c r="O277" i="18"/>
  <c r="O279" i="18" s="1"/>
  <c r="O126" i="18" s="1"/>
  <c r="K162" i="18"/>
  <c r="K256" i="18"/>
  <c r="K257" i="18"/>
  <c r="K156" i="18" s="1"/>
  <c r="K83" i="18" s="1"/>
  <c r="K97" i="18" s="1"/>
  <c r="K163" i="18"/>
  <c r="K160" i="18"/>
  <c r="L122" i="18"/>
  <c r="M228" i="18"/>
  <c r="J93" i="18"/>
  <c r="J92" i="18"/>
  <c r="M65" i="18"/>
  <c r="M134" i="18" s="1"/>
  <c r="N64" i="18"/>
  <c r="M133" i="18"/>
  <c r="M67" i="18"/>
  <c r="M135" i="18" s="1"/>
  <c r="M251" i="18" s="1"/>
  <c r="K117" i="18"/>
  <c r="K164" i="18"/>
  <c r="L104" i="18"/>
  <c r="L160" i="18" s="1"/>
  <c r="L116" i="18"/>
  <c r="L166" i="18" s="1"/>
  <c r="L111" i="18"/>
  <c r="L163" i="18" s="1"/>
  <c r="L106" i="18"/>
  <c r="L119" i="18"/>
  <c r="L167" i="18" s="1"/>
  <c r="L249" i="18"/>
  <c r="L269" i="18" s="1"/>
  <c r="L250" i="18"/>
  <c r="L115" i="18"/>
  <c r="L165" i="18" s="1"/>
  <c r="L114" i="18"/>
  <c r="L105" i="18"/>
  <c r="L161" i="18" s="1"/>
  <c r="J73" i="18"/>
  <c r="J96" i="18"/>
  <c r="L66" i="18"/>
  <c r="L68" i="18" s="1"/>
  <c r="K161" i="18"/>
  <c r="M271" i="18"/>
  <c r="I276" i="6"/>
  <c r="H63" i="6"/>
  <c r="I102" i="6"/>
  <c r="I254" i="6"/>
  <c r="I284" i="6"/>
  <c r="I266" i="6"/>
  <c r="I294" i="6"/>
  <c r="I276" i="7"/>
  <c r="I254" i="7"/>
  <c r="I284" i="7"/>
  <c r="I102" i="7"/>
  <c r="H63" i="7"/>
  <c r="I294" i="7"/>
  <c r="I266" i="7"/>
  <c r="L68" i="7"/>
  <c r="L71" i="7" s="1"/>
  <c r="H92" i="8"/>
  <c r="I93" i="8"/>
  <c r="H73" i="8"/>
  <c r="H96" i="8"/>
  <c r="L166" i="8"/>
  <c r="I276" i="9"/>
  <c r="I254" i="9"/>
  <c r="I284" i="9"/>
  <c r="I102" i="9"/>
  <c r="H63" i="9"/>
  <c r="I294" i="9"/>
  <c r="I266" i="9"/>
  <c r="L66" i="14"/>
  <c r="L68" i="14" s="1"/>
  <c r="L82" i="14" s="1"/>
  <c r="H73" i="10"/>
  <c r="H96" i="10"/>
  <c r="N64" i="11"/>
  <c r="O64" i="11" s="1"/>
  <c r="M133" i="11"/>
  <c r="M106" i="11" s="1"/>
  <c r="L165" i="12"/>
  <c r="I93" i="12"/>
  <c r="I92" i="12"/>
  <c r="I96" i="12"/>
  <c r="I73" i="12"/>
  <c r="J93" i="12"/>
  <c r="J92" i="12"/>
  <c r="J96" i="12"/>
  <c r="J73" i="12"/>
  <c r="I284" i="13"/>
  <c r="H63" i="13"/>
  <c r="I266" i="13"/>
  <c r="I102" i="13"/>
  <c r="I254" i="13"/>
  <c r="I294" i="13"/>
  <c r="I276" i="13"/>
  <c r="I73" i="15"/>
  <c r="I96" i="15"/>
  <c r="M276" i="17"/>
  <c r="M294" i="17"/>
  <c r="M239" i="17"/>
  <c r="M26" i="17"/>
  <c r="M254" i="17"/>
  <c r="M215" i="17"/>
  <c r="M284" i="17"/>
  <c r="M102" i="17"/>
  <c r="N63" i="17"/>
  <c r="M189" i="17"/>
  <c r="M266" i="17"/>
  <c r="M154" i="17"/>
  <c r="H63" i="17"/>
  <c r="I266" i="17"/>
  <c r="I276" i="17"/>
  <c r="I294" i="17"/>
  <c r="I254" i="17"/>
  <c r="I284" i="17"/>
  <c r="I102" i="17"/>
  <c r="L134" i="16"/>
  <c r="L250" i="16" s="1"/>
  <c r="N97" i="16"/>
  <c r="N135" i="16"/>
  <c r="N251" i="16" s="1"/>
  <c r="N133" i="16"/>
  <c r="N249" i="16" s="1"/>
  <c r="N134" i="16"/>
  <c r="N250" i="16" s="1"/>
  <c r="M276" i="16"/>
  <c r="M294" i="16"/>
  <c r="M239" i="16"/>
  <c r="N63" i="16"/>
  <c r="M254" i="16"/>
  <c r="M215" i="16"/>
  <c r="M284" i="16"/>
  <c r="M102" i="16"/>
  <c r="M189" i="16"/>
  <c r="M26" i="16"/>
  <c r="M266" i="16"/>
  <c r="M154" i="16"/>
  <c r="K82" i="16"/>
  <c r="K84" i="16" s="1"/>
  <c r="K86" i="16" s="1"/>
  <c r="K71" i="16"/>
  <c r="H266" i="16"/>
  <c r="H276" i="16"/>
  <c r="H294" i="16"/>
  <c r="H254" i="16"/>
  <c r="H284" i="16"/>
  <c r="H102" i="16"/>
  <c r="H79" i="16"/>
  <c r="H76" i="16"/>
  <c r="I94" i="16"/>
  <c r="I79" i="16"/>
  <c r="I95" i="16" s="1"/>
  <c r="I76" i="16"/>
  <c r="J94" i="16"/>
  <c r="J79" i="16"/>
  <c r="J76" i="16"/>
  <c r="H92" i="15"/>
  <c r="I93" i="15"/>
  <c r="H73" i="15"/>
  <c r="H96" i="15"/>
  <c r="K82" i="15"/>
  <c r="K84" i="15" s="1"/>
  <c r="K86" i="15" s="1"/>
  <c r="K71" i="15"/>
  <c r="J92" i="15"/>
  <c r="J93" i="15"/>
  <c r="J73" i="15"/>
  <c r="J96" i="15"/>
  <c r="M276" i="15"/>
  <c r="M102" i="15"/>
  <c r="M294" i="15"/>
  <c r="M239" i="15"/>
  <c r="M26" i="15"/>
  <c r="M254" i="15"/>
  <c r="M154" i="15"/>
  <c r="M215" i="15"/>
  <c r="M284" i="15"/>
  <c r="N63" i="15"/>
  <c r="M189" i="15"/>
  <c r="M266" i="15"/>
  <c r="L82" i="15"/>
  <c r="L84" i="15" s="1"/>
  <c r="L86" i="15" s="1"/>
  <c r="L71" i="15"/>
  <c r="M65" i="15"/>
  <c r="M134" i="15" s="1"/>
  <c r="M250" i="15" s="1"/>
  <c r="N64" i="15"/>
  <c r="M97" i="15"/>
  <c r="M67" i="15"/>
  <c r="M135" i="15" s="1"/>
  <c r="M251" i="15" s="1"/>
  <c r="M133" i="15"/>
  <c r="M249" i="15" s="1"/>
  <c r="M126" i="14"/>
  <c r="N277" i="14"/>
  <c r="N279" i="14" s="1"/>
  <c r="K82" i="14"/>
  <c r="K84" i="14" s="1"/>
  <c r="K86" i="14" s="1"/>
  <c r="K71" i="14"/>
  <c r="K115" i="14"/>
  <c r="K165" i="14" s="1"/>
  <c r="K250" i="14"/>
  <c r="K114" i="14"/>
  <c r="K105" i="14"/>
  <c r="N294" i="14"/>
  <c r="N254" i="14"/>
  <c r="N26" i="14"/>
  <c r="N215" i="14"/>
  <c r="N266" i="14"/>
  <c r="N154" i="14"/>
  <c r="O63" i="14"/>
  <c r="N239" i="14"/>
  <c r="N189" i="14"/>
  <c r="N102" i="14"/>
  <c r="N276" i="14"/>
  <c r="N284" i="14"/>
  <c r="I94" i="14"/>
  <c r="I79" i="14"/>
  <c r="I95" i="14" s="1"/>
  <c r="I76" i="14"/>
  <c r="J94" i="14"/>
  <c r="J79" i="14"/>
  <c r="J76" i="14"/>
  <c r="K258" i="14"/>
  <c r="K173" i="14"/>
  <c r="K174" i="14" s="1"/>
  <c r="L106" i="14"/>
  <c r="L119" i="14"/>
  <c r="L167" i="14" s="1"/>
  <c r="L111" i="14"/>
  <c r="L249" i="14"/>
  <c r="L104" i="14"/>
  <c r="L116" i="14"/>
  <c r="L166" i="14" s="1"/>
  <c r="H102" i="14"/>
  <c r="H276" i="14"/>
  <c r="H284" i="14"/>
  <c r="H294" i="14"/>
  <c r="H254" i="14"/>
  <c r="H266" i="14"/>
  <c r="M65" i="14"/>
  <c r="M134" i="14" s="1"/>
  <c r="N64" i="14"/>
  <c r="M67" i="14"/>
  <c r="M135" i="14" s="1"/>
  <c r="M251" i="14" s="1"/>
  <c r="M133" i="14"/>
  <c r="L115" i="14"/>
  <c r="L250" i="14"/>
  <c r="L114" i="14"/>
  <c r="L105" i="14"/>
  <c r="K269" i="14"/>
  <c r="L271" i="14"/>
  <c r="L249" i="13"/>
  <c r="M65" i="13"/>
  <c r="M134" i="13" s="1"/>
  <c r="N64" i="13"/>
  <c r="M133" i="13"/>
  <c r="M97" i="13"/>
  <c r="M67" i="13"/>
  <c r="M135" i="13" s="1"/>
  <c r="M251" i="13" s="1"/>
  <c r="M66" i="13"/>
  <c r="M68" i="13" s="1"/>
  <c r="L250" i="13"/>
  <c r="K82" i="13"/>
  <c r="K84" i="13" s="1"/>
  <c r="K86" i="13" s="1"/>
  <c r="K71" i="13"/>
  <c r="J73" i="13"/>
  <c r="J96" i="13"/>
  <c r="J92" i="13"/>
  <c r="J93" i="13"/>
  <c r="I73" i="13"/>
  <c r="I96" i="13"/>
  <c r="I92" i="13"/>
  <c r="I93" i="13"/>
  <c r="K168" i="13"/>
  <c r="N294" i="13"/>
  <c r="N266" i="13"/>
  <c r="N154" i="13"/>
  <c r="N26" i="13"/>
  <c r="N189" i="13"/>
  <c r="N102" i="13"/>
  <c r="N276" i="13"/>
  <c r="N239" i="13"/>
  <c r="O63" i="13"/>
  <c r="N254" i="13"/>
  <c r="N215" i="13"/>
  <c r="N284" i="13"/>
  <c r="L66" i="13"/>
  <c r="L68" i="13" s="1"/>
  <c r="H73" i="13"/>
  <c r="H96" i="13"/>
  <c r="L164" i="12"/>
  <c r="L117" i="12"/>
  <c r="K71" i="12"/>
  <c r="K82" i="12"/>
  <c r="K84" i="12" s="1"/>
  <c r="K86" i="12" s="1"/>
  <c r="L93" i="12" s="1"/>
  <c r="K112" i="12"/>
  <c r="K161" i="12"/>
  <c r="L92" i="12"/>
  <c r="L72" i="12"/>
  <c r="L73" i="12" s="1"/>
  <c r="K164" i="12"/>
  <c r="K117" i="12"/>
  <c r="K148" i="12" s="1"/>
  <c r="K149" i="12" s="1"/>
  <c r="M249" i="12"/>
  <c r="M104" i="12"/>
  <c r="M116" i="12"/>
  <c r="M166" i="12" s="1"/>
  <c r="M106" i="12"/>
  <c r="I284" i="12"/>
  <c r="H63" i="12"/>
  <c r="I294" i="12"/>
  <c r="I266" i="12"/>
  <c r="I102" i="12"/>
  <c r="I276" i="12"/>
  <c r="I254" i="12"/>
  <c r="N65" i="12"/>
  <c r="N134" i="12" s="1"/>
  <c r="O64" i="12"/>
  <c r="N97" i="12"/>
  <c r="N67" i="12"/>
  <c r="N135" i="12" s="1"/>
  <c r="N251" i="12" s="1"/>
  <c r="N133" i="12"/>
  <c r="N294" i="12"/>
  <c r="N266" i="12"/>
  <c r="N189" i="12"/>
  <c r="N102" i="12"/>
  <c r="N276" i="12"/>
  <c r="N239" i="12"/>
  <c r="N26" i="12"/>
  <c r="N254" i="12"/>
  <c r="N154" i="12"/>
  <c r="N215" i="12"/>
  <c r="O63" i="12"/>
  <c r="N284" i="12"/>
  <c r="M114" i="12"/>
  <c r="M250" i="12"/>
  <c r="M115" i="12"/>
  <c r="M165" i="12" s="1"/>
  <c r="M105" i="12"/>
  <c r="M66" i="12"/>
  <c r="M68" i="12" s="1"/>
  <c r="L162" i="11"/>
  <c r="K162" i="11"/>
  <c r="I284" i="11"/>
  <c r="I254" i="11"/>
  <c r="I294" i="11"/>
  <c r="I266" i="11"/>
  <c r="H63" i="11"/>
  <c r="I102" i="11"/>
  <c r="I276" i="11"/>
  <c r="L163" i="11"/>
  <c r="K163" i="11"/>
  <c r="K97" i="11"/>
  <c r="M294" i="11"/>
  <c r="M215" i="11"/>
  <c r="N63" i="11"/>
  <c r="M266" i="11"/>
  <c r="M102" i="11"/>
  <c r="M276" i="11"/>
  <c r="M154" i="11"/>
  <c r="M189" i="11"/>
  <c r="M254" i="11"/>
  <c r="M239" i="11"/>
  <c r="M26" i="11"/>
  <c r="M284" i="11"/>
  <c r="K107" i="11"/>
  <c r="L160" i="11"/>
  <c r="K160" i="11"/>
  <c r="I79" i="11"/>
  <c r="I76" i="11"/>
  <c r="I94" i="11"/>
  <c r="K84" i="11"/>
  <c r="K86" i="11" s="1"/>
  <c r="L134" i="11"/>
  <c r="L66" i="11"/>
  <c r="L68" i="11" s="1"/>
  <c r="K161" i="11"/>
  <c r="L167" i="11"/>
  <c r="H79" i="11"/>
  <c r="H76" i="11"/>
  <c r="K117" i="11"/>
  <c r="K164" i="11"/>
  <c r="M65" i="11"/>
  <c r="M104" i="11"/>
  <c r="M116" i="11"/>
  <c r="M166" i="11" s="1"/>
  <c r="M249" i="11"/>
  <c r="M111" i="11"/>
  <c r="M119" i="11"/>
  <c r="M167" i="11" s="1"/>
  <c r="L97" i="11"/>
  <c r="L174" i="11"/>
  <c r="L166" i="11"/>
  <c r="J79" i="11"/>
  <c r="J76" i="11"/>
  <c r="J94" i="11"/>
  <c r="K72" i="11"/>
  <c r="K73" i="11"/>
  <c r="J76" i="10"/>
  <c r="J94" i="10"/>
  <c r="J79" i="10"/>
  <c r="K134" i="10"/>
  <c r="K66" i="10"/>
  <c r="K68" i="10" s="1"/>
  <c r="I94" i="10"/>
  <c r="I79" i="10"/>
  <c r="I76" i="10"/>
  <c r="L134" i="10"/>
  <c r="L66" i="10"/>
  <c r="L68" i="10" s="1"/>
  <c r="L163" i="10"/>
  <c r="L257" i="10"/>
  <c r="L156" i="10" s="1"/>
  <c r="L83" i="10" s="1"/>
  <c r="L97" i="10" s="1"/>
  <c r="L256" i="10"/>
  <c r="L173" i="10" s="1"/>
  <c r="L174" i="10" s="1"/>
  <c r="L271" i="10"/>
  <c r="M239" i="10"/>
  <c r="M294" i="10"/>
  <c r="M254" i="10"/>
  <c r="M26" i="10"/>
  <c r="M215" i="10"/>
  <c r="M266" i="10"/>
  <c r="M154" i="10"/>
  <c r="N63" i="10"/>
  <c r="M276" i="10"/>
  <c r="M189" i="10"/>
  <c r="M102" i="10"/>
  <c r="M284" i="10"/>
  <c r="M106" i="10"/>
  <c r="M119" i="10"/>
  <c r="M167" i="10" s="1"/>
  <c r="M249" i="10"/>
  <c r="M104" i="10"/>
  <c r="M116" i="10"/>
  <c r="M166" i="10" s="1"/>
  <c r="M111" i="10"/>
  <c r="M163" i="10" s="1"/>
  <c r="M67" i="10"/>
  <c r="M135" i="10" s="1"/>
  <c r="M251" i="10" s="1"/>
  <c r="L160" i="10"/>
  <c r="H102" i="10"/>
  <c r="H276" i="10"/>
  <c r="H284" i="10"/>
  <c r="H294" i="10"/>
  <c r="H254" i="10"/>
  <c r="H266" i="10"/>
  <c r="N65" i="10"/>
  <c r="N134" i="10" s="1"/>
  <c r="O64" i="10"/>
  <c r="N67" i="10"/>
  <c r="N135" i="10" s="1"/>
  <c r="N251" i="10" s="1"/>
  <c r="N133" i="10"/>
  <c r="M115" i="10"/>
  <c r="M250" i="10"/>
  <c r="M114" i="10"/>
  <c r="M105" i="10"/>
  <c r="K258" i="10"/>
  <c r="K173" i="10"/>
  <c r="K174" i="10" s="1"/>
  <c r="M104" i="9"/>
  <c r="M160" i="9" s="1"/>
  <c r="M116" i="9"/>
  <c r="M166" i="9" s="1"/>
  <c r="M249" i="9"/>
  <c r="M269" i="9" s="1"/>
  <c r="M157" i="9" s="1"/>
  <c r="M111" i="9"/>
  <c r="M106" i="9"/>
  <c r="M162" i="9" s="1"/>
  <c r="M119" i="9"/>
  <c r="M167" i="9" s="1"/>
  <c r="O64" i="9"/>
  <c r="N133" i="9"/>
  <c r="N67" i="9"/>
  <c r="N135" i="9" s="1"/>
  <c r="N251" i="9" s="1"/>
  <c r="I94" i="9"/>
  <c r="I286" i="9"/>
  <c r="I289" i="9" s="1"/>
  <c r="I79" i="9"/>
  <c r="I95" i="9" s="1"/>
  <c r="I76" i="9"/>
  <c r="L163" i="9"/>
  <c r="K163" i="9"/>
  <c r="K257" i="9"/>
  <c r="K156" i="9" s="1"/>
  <c r="K83" i="9" s="1"/>
  <c r="K97" i="9" s="1"/>
  <c r="K256" i="9"/>
  <c r="K269" i="9"/>
  <c r="L162" i="9"/>
  <c r="K162" i="9"/>
  <c r="L160" i="9"/>
  <c r="K160" i="9"/>
  <c r="M239" i="9"/>
  <c r="M154" i="9"/>
  <c r="M26" i="9"/>
  <c r="M189" i="9"/>
  <c r="M294" i="9"/>
  <c r="M254" i="9"/>
  <c r="M215" i="9"/>
  <c r="N63" i="9"/>
  <c r="M266" i="9"/>
  <c r="M102" i="9"/>
  <c r="M284" i="9"/>
  <c r="M276" i="9"/>
  <c r="N277" i="9"/>
  <c r="N279" i="9" s="1"/>
  <c r="M126" i="9"/>
  <c r="N271" i="9"/>
  <c r="L257" i="9"/>
  <c r="L156" i="9" s="1"/>
  <c r="L83" i="9" s="1"/>
  <c r="L97" i="9" s="1"/>
  <c r="L256" i="9"/>
  <c r="L173" i="9" s="1"/>
  <c r="L174" i="9" s="1"/>
  <c r="L166" i="9"/>
  <c r="L167" i="9"/>
  <c r="H286" i="9"/>
  <c r="H289" i="9" s="1"/>
  <c r="H79" i="9"/>
  <c r="H76" i="9"/>
  <c r="M90" i="9"/>
  <c r="L65" i="9"/>
  <c r="K66" i="9"/>
  <c r="K68" i="9" s="1"/>
  <c r="K134" i="9"/>
  <c r="J94" i="9"/>
  <c r="J286" i="9"/>
  <c r="J289" i="9" s="1"/>
  <c r="J79" i="9"/>
  <c r="J76" i="9"/>
  <c r="I276" i="8"/>
  <c r="I284" i="8"/>
  <c r="H63" i="8"/>
  <c r="I102" i="8"/>
  <c r="I294" i="8"/>
  <c r="I254" i="8"/>
  <c r="I266" i="8"/>
  <c r="N133" i="8"/>
  <c r="N65" i="8"/>
  <c r="N134" i="8" s="1"/>
  <c r="O64" i="8"/>
  <c r="N67" i="8"/>
  <c r="N135" i="8" s="1"/>
  <c r="N251" i="8" s="1"/>
  <c r="M250" i="8"/>
  <c r="M115" i="8"/>
  <c r="M165" i="8" s="1"/>
  <c r="M114" i="8"/>
  <c r="M105" i="8"/>
  <c r="M161" i="8" s="1"/>
  <c r="M116" i="8"/>
  <c r="M166" i="8" s="1"/>
  <c r="M111" i="8"/>
  <c r="M106" i="8"/>
  <c r="M119" i="8"/>
  <c r="M167" i="8" s="1"/>
  <c r="M249" i="8"/>
  <c r="M104" i="8"/>
  <c r="K107" i="8"/>
  <c r="L160" i="8"/>
  <c r="K160" i="8"/>
  <c r="M66" i="8"/>
  <c r="M68" i="8" s="1"/>
  <c r="K257" i="8"/>
  <c r="K156" i="8" s="1"/>
  <c r="K83" i="8" s="1"/>
  <c r="K97" i="8" s="1"/>
  <c r="K256" i="8"/>
  <c r="K95" i="8"/>
  <c r="J95" i="8"/>
  <c r="L72" i="8"/>
  <c r="L73" i="8" s="1"/>
  <c r="K161" i="8"/>
  <c r="L161" i="8"/>
  <c r="N277" i="8"/>
  <c r="N279" i="8" s="1"/>
  <c r="M126" i="8"/>
  <c r="K164" i="8"/>
  <c r="K117" i="8"/>
  <c r="L162" i="8"/>
  <c r="K162" i="8"/>
  <c r="L164" i="8"/>
  <c r="L117" i="8"/>
  <c r="L163" i="8"/>
  <c r="K163" i="8"/>
  <c r="M239" i="8"/>
  <c r="M189" i="8"/>
  <c r="M102" i="8"/>
  <c r="M294" i="8"/>
  <c r="M254" i="8"/>
  <c r="M154" i="8"/>
  <c r="M266" i="8"/>
  <c r="M26" i="8"/>
  <c r="M276" i="8"/>
  <c r="M284" i="8"/>
  <c r="M215" i="8"/>
  <c r="N63" i="8"/>
  <c r="M160" i="8"/>
  <c r="L107" i="8"/>
  <c r="K269" i="8"/>
  <c r="L271" i="8"/>
  <c r="L257" i="8"/>
  <c r="L156" i="8" s="1"/>
  <c r="L83" i="8" s="1"/>
  <c r="L97" i="8" s="1"/>
  <c r="L256" i="8"/>
  <c r="L173" i="8" s="1"/>
  <c r="L174" i="8" s="1"/>
  <c r="K71" i="8"/>
  <c r="K82" i="8"/>
  <c r="K84" i="8" s="1"/>
  <c r="K86" i="8" s="1"/>
  <c r="L167" i="8"/>
  <c r="K250" i="7"/>
  <c r="K115" i="7"/>
  <c r="K165" i="7" s="1"/>
  <c r="K114" i="7"/>
  <c r="L164" i="7" s="1"/>
  <c r="K105" i="7"/>
  <c r="H79" i="7"/>
  <c r="H76" i="7"/>
  <c r="H286" i="7"/>
  <c r="H289" i="7" s="1"/>
  <c r="L163" i="7"/>
  <c r="K163" i="7"/>
  <c r="L117" i="7"/>
  <c r="I79" i="7"/>
  <c r="I286" i="7"/>
  <c r="I289" i="7" s="1"/>
  <c r="I94" i="7"/>
  <c r="I76" i="7"/>
  <c r="N67" i="7"/>
  <c r="N135" i="7" s="1"/>
  <c r="N251" i="7" s="1"/>
  <c r="N133" i="7"/>
  <c r="N65" i="7"/>
  <c r="N134" i="7" s="1"/>
  <c r="O64" i="7"/>
  <c r="K269" i="7"/>
  <c r="L271" i="7"/>
  <c r="M250" i="7"/>
  <c r="M105" i="7"/>
  <c r="N277" i="7"/>
  <c r="N279" i="7" s="1"/>
  <c r="M126" i="7"/>
  <c r="M119" i="7"/>
  <c r="M167" i="7" s="1"/>
  <c r="M104" i="7"/>
  <c r="O228" i="7"/>
  <c r="O230" i="7" s="1"/>
  <c r="O122" i="7" s="1"/>
  <c r="N122" i="7"/>
  <c r="J96" i="7"/>
  <c r="J73" i="7"/>
  <c r="M239" i="7"/>
  <c r="M189" i="7"/>
  <c r="M294" i="7"/>
  <c r="N63" i="7"/>
  <c r="M254" i="7"/>
  <c r="M154" i="7"/>
  <c r="M102" i="7"/>
  <c r="M266" i="7"/>
  <c r="M26" i="7"/>
  <c r="M276" i="7"/>
  <c r="M284" i="7"/>
  <c r="M215" i="7"/>
  <c r="J93" i="7"/>
  <c r="J92" i="7"/>
  <c r="L160" i="7"/>
  <c r="K160" i="7"/>
  <c r="L167" i="7"/>
  <c r="K257" i="7"/>
  <c r="K156" i="7" s="1"/>
  <c r="K83" i="7" s="1"/>
  <c r="K97" i="7" s="1"/>
  <c r="K256" i="7"/>
  <c r="L257" i="7"/>
  <c r="L156" i="7" s="1"/>
  <c r="L83" i="7" s="1"/>
  <c r="L97" i="7" s="1"/>
  <c r="L256" i="7"/>
  <c r="L173" i="7" s="1"/>
  <c r="L174" i="7" s="1"/>
  <c r="L162" i="7"/>
  <c r="K162" i="7"/>
  <c r="K82" i="7"/>
  <c r="K71" i="7"/>
  <c r="M65" i="6"/>
  <c r="M134" i="6" s="1"/>
  <c r="N64" i="6"/>
  <c r="M133" i="6"/>
  <c r="M67" i="6"/>
  <c r="M135" i="6" s="1"/>
  <c r="M251" i="6" s="1"/>
  <c r="L68" i="6"/>
  <c r="M239" i="6"/>
  <c r="M189" i="6"/>
  <c r="M294" i="6"/>
  <c r="M26" i="6"/>
  <c r="M254" i="6"/>
  <c r="M154" i="6"/>
  <c r="M102" i="6"/>
  <c r="M276" i="6"/>
  <c r="M266" i="6"/>
  <c r="N63" i="6"/>
  <c r="M284" i="6"/>
  <c r="M215" i="6"/>
  <c r="L250" i="6"/>
  <c r="L115" i="6"/>
  <c r="L165" i="6" s="1"/>
  <c r="L114" i="6"/>
  <c r="L105" i="6"/>
  <c r="L161" i="6" s="1"/>
  <c r="K160" i="6"/>
  <c r="K257" i="6"/>
  <c r="K156" i="6" s="1"/>
  <c r="K83" i="6" s="1"/>
  <c r="K97" i="6" s="1"/>
  <c r="K256" i="6"/>
  <c r="K162" i="6"/>
  <c r="K163" i="6"/>
  <c r="N277" i="6"/>
  <c r="N279" i="6" s="1"/>
  <c r="M126" i="6"/>
  <c r="J96" i="6"/>
  <c r="J73" i="6"/>
  <c r="J93" i="6"/>
  <c r="J92" i="6"/>
  <c r="H96" i="6"/>
  <c r="H73" i="6"/>
  <c r="K161" i="6"/>
  <c r="K164" i="6"/>
  <c r="K117" i="6"/>
  <c r="L116" i="6"/>
  <c r="L166" i="6" s="1"/>
  <c r="L111" i="6"/>
  <c r="L163" i="6" s="1"/>
  <c r="L106" i="6"/>
  <c r="L162" i="6" s="1"/>
  <c r="L119" i="6"/>
  <c r="L167" i="6" s="1"/>
  <c r="L104" i="6"/>
  <c r="L249" i="6"/>
  <c r="I96" i="6"/>
  <c r="I73" i="6"/>
  <c r="K269" i="6"/>
  <c r="L271" i="6"/>
  <c r="M230" i="6"/>
  <c r="I93" i="6"/>
  <c r="I92" i="6"/>
  <c r="M45" i="30" l="1"/>
  <c r="M59" i="30" s="1"/>
  <c r="N104" i="30"/>
  <c r="L207" i="30"/>
  <c r="L209" i="30" s="1"/>
  <c r="M207" i="30" s="1"/>
  <c r="M80" i="27"/>
  <c r="M109" i="27" s="1"/>
  <c r="M110" i="27" s="1"/>
  <c r="K46" i="27"/>
  <c r="K48" i="27" s="1"/>
  <c r="K55" i="27" s="1"/>
  <c r="L55" i="30"/>
  <c r="O76" i="30"/>
  <c r="O104" i="30" s="1"/>
  <c r="O28" i="30"/>
  <c r="O30" i="30" s="1"/>
  <c r="O44" i="30" s="1"/>
  <c r="M196" i="30"/>
  <c r="M198" i="30"/>
  <c r="M200" i="30" s="1"/>
  <c r="M208" i="30" s="1"/>
  <c r="K37" i="30"/>
  <c r="K192" i="30"/>
  <c r="K40" i="30" s="1"/>
  <c r="N44" i="30"/>
  <c r="N101" i="30"/>
  <c r="N45" i="30"/>
  <c r="N59" i="30" s="1"/>
  <c r="N194" i="30"/>
  <c r="N102" i="30"/>
  <c r="O186" i="30"/>
  <c r="O151" i="30"/>
  <c r="O99" i="30"/>
  <c r="O125" i="30"/>
  <c r="O64" i="30"/>
  <c r="O175" i="30"/>
  <c r="O85" i="30"/>
  <c r="O82" i="30"/>
  <c r="O80" i="30"/>
  <c r="O109" i="30" s="1"/>
  <c r="O110" i="30" s="1"/>
  <c r="I57" i="30"/>
  <c r="M89" i="30"/>
  <c r="N102" i="18"/>
  <c r="O63" i="18"/>
  <c r="N266" i="18"/>
  <c r="N26" i="18"/>
  <c r="N276" i="18"/>
  <c r="N284" i="18"/>
  <c r="N254" i="18"/>
  <c r="N215" i="18"/>
  <c r="N37" i="18"/>
  <c r="N239" i="18"/>
  <c r="N189" i="18"/>
  <c r="N154" i="18"/>
  <c r="N294" i="18"/>
  <c r="H276" i="18"/>
  <c r="H284" i="18"/>
  <c r="H254" i="18"/>
  <c r="H294" i="18"/>
  <c r="H102" i="18"/>
  <c r="H266" i="18"/>
  <c r="H76" i="18"/>
  <c r="H286" i="18"/>
  <c r="H289" i="18" s="1"/>
  <c r="H79" i="18"/>
  <c r="I95" i="18" s="1"/>
  <c r="I94" i="18"/>
  <c r="L168" i="28"/>
  <c r="L33" i="28"/>
  <c r="L34" i="28" s="1"/>
  <c r="L109" i="28"/>
  <c r="M178" i="28"/>
  <c r="L117" i="28"/>
  <c r="K186" i="28"/>
  <c r="M104" i="28"/>
  <c r="M172" i="28" s="1"/>
  <c r="M133" i="28"/>
  <c r="M168" i="28" s="1"/>
  <c r="M106" i="28"/>
  <c r="M174" i="28" s="1"/>
  <c r="M111" i="28"/>
  <c r="M175" i="28" s="1"/>
  <c r="N27" i="28"/>
  <c r="N28" i="28" s="1"/>
  <c r="M131" i="28"/>
  <c r="M185" i="28" s="1"/>
  <c r="M186" i="28" s="1"/>
  <c r="M119" i="28"/>
  <c r="M179" i="28" s="1"/>
  <c r="M136" i="28"/>
  <c r="M269" i="28" s="1"/>
  <c r="M66" i="28"/>
  <c r="M68" i="28" s="1"/>
  <c r="M82" i="28" s="1"/>
  <c r="N67" i="28"/>
  <c r="N147" i="28" s="1"/>
  <c r="N115" i="28" s="1"/>
  <c r="N145" i="28"/>
  <c r="N111" i="28" s="1"/>
  <c r="O64" i="28"/>
  <c r="O27" i="28" s="1"/>
  <c r="M105" i="28"/>
  <c r="M173" i="28" s="1"/>
  <c r="M115" i="28"/>
  <c r="M177" i="28" s="1"/>
  <c r="L180" i="28"/>
  <c r="L41" i="28" s="1"/>
  <c r="N66" i="28"/>
  <c r="M140" i="28"/>
  <c r="K86" i="28"/>
  <c r="K38" i="28"/>
  <c r="L273" i="28"/>
  <c r="L275" i="28" s="1"/>
  <c r="L283" i="28" s="1"/>
  <c r="L271" i="28"/>
  <c r="N114" i="28"/>
  <c r="N105" i="28"/>
  <c r="I95" i="28"/>
  <c r="N240" i="28"/>
  <c r="M122" i="28"/>
  <c r="M50" i="28" s="1"/>
  <c r="L282" i="28"/>
  <c r="K265" i="28"/>
  <c r="K42" i="28"/>
  <c r="K34" i="28"/>
  <c r="O37" i="28"/>
  <c r="O227" i="28"/>
  <c r="O251" i="28"/>
  <c r="O201" i="28"/>
  <c r="O102" i="28"/>
  <c r="O166" i="28"/>
  <c r="O26" i="28"/>
  <c r="O261" i="28"/>
  <c r="M176" i="28"/>
  <c r="J95" i="28"/>
  <c r="L84" i="28"/>
  <c r="M82" i="27"/>
  <c r="M45" i="27" s="1"/>
  <c r="M59" i="27" s="1"/>
  <c r="M85" i="27"/>
  <c r="M102" i="27" s="1"/>
  <c r="N92" i="27"/>
  <c r="N28" i="27"/>
  <c r="N29" i="27"/>
  <c r="N94" i="27" s="1"/>
  <c r="O26" i="27"/>
  <c r="O27" i="27" s="1"/>
  <c r="O93" i="27" s="1"/>
  <c r="M30" i="27"/>
  <c r="M44" i="27" s="1"/>
  <c r="L198" i="27"/>
  <c r="L200" i="27" s="1"/>
  <c r="L208" i="27" s="1"/>
  <c r="L196" i="27"/>
  <c r="O99" i="27"/>
  <c r="O64" i="27"/>
  <c r="O151" i="27"/>
  <c r="O125" i="27"/>
  <c r="O175" i="27"/>
  <c r="O186" i="27"/>
  <c r="L89" i="27"/>
  <c r="J57" i="27"/>
  <c r="L46" i="27"/>
  <c r="L48" i="27" s="1"/>
  <c r="L207" i="27"/>
  <c r="K190" i="27"/>
  <c r="L169" i="26"/>
  <c r="L269" i="26"/>
  <c r="M169" i="26"/>
  <c r="M269" i="26"/>
  <c r="N169" i="26"/>
  <c r="N269" i="26"/>
  <c r="M176" i="26"/>
  <c r="L125" i="26"/>
  <c r="M125" i="26" s="1"/>
  <c r="N125" i="26" s="1"/>
  <c r="N83" i="26"/>
  <c r="N168" i="26"/>
  <c r="M83" i="26"/>
  <c r="M97" i="26" s="1"/>
  <c r="M168" i="26"/>
  <c r="L83" i="26"/>
  <c r="L168" i="26"/>
  <c r="L109" i="26"/>
  <c r="M109" i="26" s="1"/>
  <c r="N109" i="26" s="1"/>
  <c r="N105" i="26"/>
  <c r="N173" i="26" s="1"/>
  <c r="N178" i="26"/>
  <c r="N114" i="26"/>
  <c r="N176" i="26" s="1"/>
  <c r="M33" i="26"/>
  <c r="L173" i="26"/>
  <c r="N115" i="26"/>
  <c r="N177" i="26" s="1"/>
  <c r="N66" i="26"/>
  <c r="N68" i="26" s="1"/>
  <c r="N82" i="26" s="1"/>
  <c r="M117" i="26"/>
  <c r="K84" i="26"/>
  <c r="K38" i="26" s="1"/>
  <c r="N179" i="26"/>
  <c r="M172" i="26"/>
  <c r="L172" i="26"/>
  <c r="O27" i="26"/>
  <c r="O28" i="26" s="1"/>
  <c r="M177" i="26"/>
  <c r="M179" i="26"/>
  <c r="M175" i="26"/>
  <c r="L117" i="26"/>
  <c r="L178" i="26"/>
  <c r="M178" i="26"/>
  <c r="O65" i="26"/>
  <c r="O146" i="26" s="1"/>
  <c r="O67" i="26"/>
  <c r="O147" i="26" s="1"/>
  <c r="M174" i="26"/>
  <c r="K273" i="26"/>
  <c r="K275" i="26" s="1"/>
  <c r="K283" i="26" s="1"/>
  <c r="K284" i="26" s="1"/>
  <c r="K271" i="26"/>
  <c r="M242" i="26"/>
  <c r="O133" i="26"/>
  <c r="O104" i="26"/>
  <c r="O172" i="26" s="1"/>
  <c r="O106" i="26"/>
  <c r="O174" i="26" s="1"/>
  <c r="O116" i="26"/>
  <c r="O178" i="26" s="1"/>
  <c r="O131" i="26"/>
  <c r="O185" i="26" s="1"/>
  <c r="O111" i="26"/>
  <c r="O175" i="26" s="1"/>
  <c r="O136" i="26"/>
  <c r="O119" i="26"/>
  <c r="O179" i="26" s="1"/>
  <c r="O140" i="26"/>
  <c r="N172" i="26"/>
  <c r="N175" i="26"/>
  <c r="K33" i="26"/>
  <c r="K186" i="26"/>
  <c r="N174" i="26"/>
  <c r="K282" i="25"/>
  <c r="K125" i="25" s="1"/>
  <c r="K169" i="25"/>
  <c r="K38" i="25" s="1"/>
  <c r="K270" i="25"/>
  <c r="K109" i="25" s="1"/>
  <c r="M66" i="25"/>
  <c r="M68" i="25" s="1"/>
  <c r="M82" i="25" s="1"/>
  <c r="N65" i="25"/>
  <c r="N146" i="25" s="1"/>
  <c r="N105" i="25" s="1"/>
  <c r="N27" i="25"/>
  <c r="N28" i="25" s="1"/>
  <c r="M262" i="25"/>
  <c r="M111" i="25"/>
  <c r="M175" i="25" s="1"/>
  <c r="M119" i="25"/>
  <c r="M179" i="25" s="1"/>
  <c r="M131" i="25"/>
  <c r="M136" i="25"/>
  <c r="M105" i="25"/>
  <c r="M173" i="25" s="1"/>
  <c r="M116" i="25"/>
  <c r="M178" i="25" s="1"/>
  <c r="M104" i="25"/>
  <c r="M172" i="25" s="1"/>
  <c r="M106" i="25"/>
  <c r="M174" i="25" s="1"/>
  <c r="M115" i="25"/>
  <c r="M177" i="25" s="1"/>
  <c r="M261" i="25"/>
  <c r="M269" i="25" s="1"/>
  <c r="M168" i="25" s="1"/>
  <c r="M83" i="25" s="1"/>
  <c r="M97" i="25" s="1"/>
  <c r="O64" i="25"/>
  <c r="O145" i="25" s="1"/>
  <c r="O133" i="25" s="1"/>
  <c r="N67" i="25"/>
  <c r="N147" i="25" s="1"/>
  <c r="N263" i="25" s="1"/>
  <c r="L117" i="25"/>
  <c r="N136" i="25"/>
  <c r="N131" i="25"/>
  <c r="L180" i="25"/>
  <c r="L41" i="25" s="1"/>
  <c r="L84" i="25"/>
  <c r="L86" i="25" s="1"/>
  <c r="N261" i="25"/>
  <c r="N104" i="25"/>
  <c r="N116" i="25"/>
  <c r="N119" i="25"/>
  <c r="N111" i="25"/>
  <c r="N106" i="25"/>
  <c r="O278" i="25"/>
  <c r="O26" i="25"/>
  <c r="O288" i="25"/>
  <c r="O296" i="25"/>
  <c r="O227" i="25"/>
  <c r="O251" i="25"/>
  <c r="O37" i="25"/>
  <c r="O201" i="25"/>
  <c r="O102" i="25"/>
  <c r="O306" i="25"/>
  <c r="O266" i="25"/>
  <c r="O166" i="25"/>
  <c r="I95" i="25"/>
  <c r="J95" i="25"/>
  <c r="K33" i="25"/>
  <c r="K186" i="25"/>
  <c r="N283" i="25"/>
  <c r="L33" i="25"/>
  <c r="L186" i="25"/>
  <c r="M176" i="25"/>
  <c r="K92" i="25"/>
  <c r="K29" i="25"/>
  <c r="K93" i="25"/>
  <c r="M242" i="25"/>
  <c r="L314" i="25"/>
  <c r="L169" i="25"/>
  <c r="K318" i="25"/>
  <c r="K320" i="25" s="1"/>
  <c r="K328" i="25" s="1"/>
  <c r="K329" i="25" s="1"/>
  <c r="K316" i="25"/>
  <c r="L166" i="24"/>
  <c r="L160" i="24"/>
  <c r="L167" i="24"/>
  <c r="M67" i="24"/>
  <c r="M135" i="24" s="1"/>
  <c r="M251" i="24" s="1"/>
  <c r="M65" i="24"/>
  <c r="M134" i="24" s="1"/>
  <c r="M250" i="24" s="1"/>
  <c r="L66" i="24"/>
  <c r="L68" i="24" s="1"/>
  <c r="L82" i="24" s="1"/>
  <c r="K117" i="24"/>
  <c r="M27" i="24"/>
  <c r="M28" i="24" s="1"/>
  <c r="L114" i="24"/>
  <c r="L164" i="24" s="1"/>
  <c r="M133" i="24"/>
  <c r="M116" i="24" s="1"/>
  <c r="M166" i="24" s="1"/>
  <c r="L105" i="24"/>
  <c r="L161" i="24" s="1"/>
  <c r="L115" i="24"/>
  <c r="L165" i="24" s="1"/>
  <c r="N201" i="22"/>
  <c r="N177" i="22"/>
  <c r="N117" i="22"/>
  <c r="N228" i="22"/>
  <c r="N256" i="22"/>
  <c r="N246" i="22"/>
  <c r="N238" i="22"/>
  <c r="O26" i="22"/>
  <c r="N151" i="22"/>
  <c r="N65" i="22"/>
  <c r="N216" i="22"/>
  <c r="I58" i="22"/>
  <c r="K257" i="24"/>
  <c r="K156" i="24" s="1"/>
  <c r="K83" i="24" s="1"/>
  <c r="K97" i="24" s="1"/>
  <c r="K269" i="24"/>
  <c r="K302" i="24" s="1"/>
  <c r="N133" i="24"/>
  <c r="N67" i="24"/>
  <c r="N135" i="24" s="1"/>
  <c r="N251" i="24" s="1"/>
  <c r="N27" i="24"/>
  <c r="O64" i="24"/>
  <c r="N65" i="24"/>
  <c r="N134" i="24" s="1"/>
  <c r="N276" i="24"/>
  <c r="N266" i="24"/>
  <c r="N189" i="24"/>
  <c r="N294" i="24"/>
  <c r="N254" i="24"/>
  <c r="N239" i="24"/>
  <c r="N154" i="24"/>
  <c r="N284" i="24"/>
  <c r="N215" i="24"/>
  <c r="O63" i="24"/>
  <c r="N26" i="24"/>
  <c r="N102" i="24"/>
  <c r="N37" i="24"/>
  <c r="K173" i="24"/>
  <c r="L269" i="24"/>
  <c r="M271" i="24"/>
  <c r="K168" i="24"/>
  <c r="K41" i="24" s="1"/>
  <c r="J286" i="24"/>
  <c r="J289" i="24" s="1"/>
  <c r="J295" i="24"/>
  <c r="J76" i="24"/>
  <c r="J94" i="24"/>
  <c r="J79" i="24"/>
  <c r="J95" i="24" s="1"/>
  <c r="L162" i="24"/>
  <c r="L256" i="24"/>
  <c r="L173" i="24" s="1"/>
  <c r="L257" i="24"/>
  <c r="L156" i="24" s="1"/>
  <c r="L83" i="24" s="1"/>
  <c r="L97" i="24" s="1"/>
  <c r="M230" i="24"/>
  <c r="M232" i="24" s="1"/>
  <c r="M233" i="24" s="1"/>
  <c r="L29" i="22"/>
  <c r="L31" i="22" s="1"/>
  <c r="L45" i="22" s="1"/>
  <c r="L68" i="22"/>
  <c r="L123" i="22" s="1"/>
  <c r="L77" i="22"/>
  <c r="L126" i="22" s="1"/>
  <c r="L125" i="22"/>
  <c r="L79" i="22"/>
  <c r="L128" i="22" s="1"/>
  <c r="L78" i="22"/>
  <c r="L127" i="22" s="1"/>
  <c r="L69" i="22"/>
  <c r="K80" i="22"/>
  <c r="L82" i="22"/>
  <c r="L129" i="22" s="1"/>
  <c r="L211" i="22"/>
  <c r="L231" i="22" s="1"/>
  <c r="L67" i="22"/>
  <c r="L122" i="22" s="1"/>
  <c r="K231" i="22"/>
  <c r="K264" i="22" s="1"/>
  <c r="K218" i="22"/>
  <c r="K135" i="22" s="1"/>
  <c r="K124" i="22"/>
  <c r="K130" i="22" s="1"/>
  <c r="H256" i="22"/>
  <c r="H228" i="22"/>
  <c r="H216" i="22"/>
  <c r="H246" i="22"/>
  <c r="H65" i="22"/>
  <c r="H238" i="22"/>
  <c r="J58" i="22"/>
  <c r="M29" i="22"/>
  <c r="M31" i="22" s="1"/>
  <c r="M45" i="22" s="1"/>
  <c r="N190" i="22"/>
  <c r="M85" i="22"/>
  <c r="O233" i="22"/>
  <c r="M211" i="22"/>
  <c r="M82" i="22"/>
  <c r="M74" i="22"/>
  <c r="M67" i="22"/>
  <c r="M79" i="22"/>
  <c r="M69" i="22"/>
  <c r="N96" i="22"/>
  <c r="N30" i="22"/>
  <c r="N98" i="22" s="1"/>
  <c r="N213" i="22" s="1"/>
  <c r="N28" i="22"/>
  <c r="N97" i="22" s="1"/>
  <c r="O27" i="22"/>
  <c r="M77" i="22"/>
  <c r="M78" i="22"/>
  <c r="M212" i="22"/>
  <c r="M68" i="22"/>
  <c r="K47" i="22"/>
  <c r="L84" i="19"/>
  <c r="L86" i="19" s="1"/>
  <c r="L82" i="7"/>
  <c r="L84" i="7" s="1"/>
  <c r="L86" i="7" s="1"/>
  <c r="M249" i="7"/>
  <c r="M257" i="7" s="1"/>
  <c r="M156" i="7" s="1"/>
  <c r="M83" i="7" s="1"/>
  <c r="M97" i="7" s="1"/>
  <c r="M106" i="7"/>
  <c r="M162" i="7" s="1"/>
  <c r="M114" i="7"/>
  <c r="M111" i="7"/>
  <c r="M66" i="7"/>
  <c r="M68" i="7" s="1"/>
  <c r="M71" i="7" s="1"/>
  <c r="L84" i="8"/>
  <c r="L86" i="8" s="1"/>
  <c r="L92" i="8" s="1"/>
  <c r="L161" i="12"/>
  <c r="L168" i="12" s="1"/>
  <c r="M133" i="20"/>
  <c r="M249" i="20" s="1"/>
  <c r="M269" i="20" s="1"/>
  <c r="M65" i="20"/>
  <c r="M134" i="20" s="1"/>
  <c r="M67" i="20"/>
  <c r="M135" i="20" s="1"/>
  <c r="M251" i="20" s="1"/>
  <c r="N64" i="20"/>
  <c r="N65" i="20" s="1"/>
  <c r="N134" i="20" s="1"/>
  <c r="M28" i="20"/>
  <c r="L167" i="20"/>
  <c r="L105" i="20"/>
  <c r="L161" i="20" s="1"/>
  <c r="L66" i="20"/>
  <c r="L68" i="20" s="1"/>
  <c r="L82" i="20" s="1"/>
  <c r="L114" i="20"/>
  <c r="L164" i="20" s="1"/>
  <c r="L115" i="20"/>
  <c r="L165" i="20" s="1"/>
  <c r="K117" i="20"/>
  <c r="K168" i="20"/>
  <c r="K41" i="20" s="1"/>
  <c r="K257" i="20"/>
  <c r="K156" i="20" s="1"/>
  <c r="K83" i="20" s="1"/>
  <c r="K97" i="20" s="1"/>
  <c r="K269" i="20"/>
  <c r="K256" i="20"/>
  <c r="L166" i="20"/>
  <c r="L157" i="20"/>
  <c r="L302" i="20"/>
  <c r="M230" i="20"/>
  <c r="M232" i="20"/>
  <c r="M233" i="20" s="1"/>
  <c r="H295" i="20"/>
  <c r="H76" i="20"/>
  <c r="H79" i="20"/>
  <c r="H286" i="20"/>
  <c r="H289" i="20" s="1"/>
  <c r="O276" i="20"/>
  <c r="O284" i="20"/>
  <c r="O215" i="20"/>
  <c r="O37" i="20"/>
  <c r="O239" i="20"/>
  <c r="O189" i="20"/>
  <c r="O294" i="20"/>
  <c r="O254" i="20"/>
  <c r="O154" i="20"/>
  <c r="O102" i="20"/>
  <c r="O266" i="20"/>
  <c r="O26" i="20"/>
  <c r="H266" i="20"/>
  <c r="H102" i="20"/>
  <c r="H276" i="20"/>
  <c r="H284" i="20"/>
  <c r="H294" i="20"/>
  <c r="H254" i="20"/>
  <c r="I94" i="20"/>
  <c r="I295" i="20"/>
  <c r="I76" i="20"/>
  <c r="I286" i="20"/>
  <c r="I289" i="20" s="1"/>
  <c r="I79" i="20"/>
  <c r="I95" i="20" s="1"/>
  <c r="L162" i="20"/>
  <c r="J94" i="20"/>
  <c r="J295" i="20"/>
  <c r="J76" i="20"/>
  <c r="J286" i="20"/>
  <c r="J289" i="20" s="1"/>
  <c r="J79" i="20"/>
  <c r="L163" i="20"/>
  <c r="L160" i="20"/>
  <c r="L256" i="20"/>
  <c r="L173" i="20" s="1"/>
  <c r="L257" i="20"/>
  <c r="L156" i="20" s="1"/>
  <c r="L83" i="20" s="1"/>
  <c r="L97" i="20" s="1"/>
  <c r="N271" i="20"/>
  <c r="J94" i="19"/>
  <c r="J295" i="19"/>
  <c r="J76" i="19"/>
  <c r="J286" i="19"/>
  <c r="J289" i="19" s="1"/>
  <c r="J79" i="19"/>
  <c r="J95" i="19" s="1"/>
  <c r="O276" i="19"/>
  <c r="O284" i="19"/>
  <c r="O215" i="19"/>
  <c r="O37" i="19"/>
  <c r="O239" i="19"/>
  <c r="O189" i="19"/>
  <c r="O294" i="19"/>
  <c r="O254" i="19"/>
  <c r="O154" i="19"/>
  <c r="O102" i="19"/>
  <c r="O266" i="19"/>
  <c r="O26" i="19"/>
  <c r="K258" i="19"/>
  <c r="K173" i="19"/>
  <c r="N104" i="19"/>
  <c r="N116" i="19"/>
  <c r="N166" i="19" s="1"/>
  <c r="N111" i="19"/>
  <c r="N163" i="19" s="1"/>
  <c r="N106" i="19"/>
  <c r="N119" i="19"/>
  <c r="N167" i="19" s="1"/>
  <c r="N249" i="19"/>
  <c r="O27" i="19"/>
  <c r="O28" i="19" s="1"/>
  <c r="O65" i="19"/>
  <c r="O134" i="19" s="1"/>
  <c r="O133" i="19"/>
  <c r="O67" i="19"/>
  <c r="O135" i="19" s="1"/>
  <c r="O251" i="19" s="1"/>
  <c r="K84" i="19"/>
  <c r="K38" i="19" s="1"/>
  <c r="N250" i="19"/>
  <c r="N115" i="19"/>
  <c r="N165" i="19" s="1"/>
  <c r="N114" i="19"/>
  <c r="N105" i="19"/>
  <c r="N66" i="19"/>
  <c r="N68" i="19" s="1"/>
  <c r="I94" i="19"/>
  <c r="I295" i="19"/>
  <c r="I76" i="19"/>
  <c r="I286" i="19"/>
  <c r="I289" i="19" s="1"/>
  <c r="I79" i="19"/>
  <c r="I95" i="19" s="1"/>
  <c r="N161" i="19"/>
  <c r="M164" i="19"/>
  <c r="M117" i="19"/>
  <c r="M256" i="19"/>
  <c r="M173" i="19" s="1"/>
  <c r="M257" i="19"/>
  <c r="M156" i="19" s="1"/>
  <c r="M83" i="19" s="1"/>
  <c r="M97" i="19" s="1"/>
  <c r="N162" i="19"/>
  <c r="L174" i="19"/>
  <c r="L33" i="19"/>
  <c r="M269" i="19"/>
  <c r="N271" i="19"/>
  <c r="K168" i="19"/>
  <c r="K41" i="19" s="1"/>
  <c r="L302" i="19"/>
  <c r="L157" i="19"/>
  <c r="L168" i="19"/>
  <c r="L41" i="19" s="1"/>
  <c r="K302" i="19"/>
  <c r="K157" i="19"/>
  <c r="K270" i="19"/>
  <c r="M163" i="19"/>
  <c r="M168" i="19" s="1"/>
  <c r="M41" i="19" s="1"/>
  <c r="M230" i="19"/>
  <c r="M232" i="19"/>
  <c r="M233" i="19" s="1"/>
  <c r="M82" i="19"/>
  <c r="L157" i="18"/>
  <c r="N271" i="18"/>
  <c r="M104" i="18"/>
  <c r="M160" i="18" s="1"/>
  <c r="M116" i="18"/>
  <c r="M166" i="18" s="1"/>
  <c r="M111" i="18"/>
  <c r="M106" i="18"/>
  <c r="M119" i="18"/>
  <c r="M167" i="18" s="1"/>
  <c r="M249" i="18"/>
  <c r="M250" i="18"/>
  <c r="M115" i="18"/>
  <c r="M165" i="18" s="1"/>
  <c r="M114" i="18"/>
  <c r="M105" i="18"/>
  <c r="N65" i="18"/>
  <c r="N134" i="18" s="1"/>
  <c r="O64" i="18"/>
  <c r="N133" i="18"/>
  <c r="N67" i="18"/>
  <c r="N135" i="18" s="1"/>
  <c r="N251" i="18" s="1"/>
  <c r="L82" i="18"/>
  <c r="M66" i="18"/>
  <c r="M68" i="18" s="1"/>
  <c r="J94" i="18"/>
  <c r="J76" i="18"/>
  <c r="J286" i="18"/>
  <c r="J289" i="18" s="1"/>
  <c r="J79" i="18"/>
  <c r="J95" i="18" s="1"/>
  <c r="L164" i="18"/>
  <c r="L117" i="18"/>
  <c r="M230" i="18"/>
  <c r="M232" i="18"/>
  <c r="M233" i="18" s="1"/>
  <c r="K168" i="18"/>
  <c r="L256" i="18"/>
  <c r="L173" i="18" s="1"/>
  <c r="L257" i="18"/>
  <c r="L156" i="18" s="1"/>
  <c r="L83" i="18" s="1"/>
  <c r="L97" i="18" s="1"/>
  <c r="M162" i="18"/>
  <c r="K84" i="18"/>
  <c r="L267" i="18"/>
  <c r="L270" i="18" s="1"/>
  <c r="K125" i="18"/>
  <c r="K258" i="18"/>
  <c r="K173" i="18"/>
  <c r="L162" i="18"/>
  <c r="L168" i="18" s="1"/>
  <c r="K84" i="6"/>
  <c r="K86" i="6" s="1"/>
  <c r="K93" i="6" s="1"/>
  <c r="M66" i="6"/>
  <c r="M68" i="6" s="1"/>
  <c r="M82" i="6" s="1"/>
  <c r="H276" i="6"/>
  <c r="H254" i="6"/>
  <c r="H284" i="6"/>
  <c r="H294" i="6"/>
  <c r="H266" i="6"/>
  <c r="H102" i="6"/>
  <c r="L165" i="7"/>
  <c r="I95" i="7"/>
  <c r="H294" i="7"/>
  <c r="H276" i="7"/>
  <c r="H284" i="7"/>
  <c r="H254" i="7"/>
  <c r="H102" i="7"/>
  <c r="H266" i="7"/>
  <c r="H79" i="8"/>
  <c r="I95" i="8" s="1"/>
  <c r="H286" i="8"/>
  <c r="H289" i="8" s="1"/>
  <c r="H76" i="8"/>
  <c r="I94" i="8"/>
  <c r="H254" i="9"/>
  <c r="H284" i="9"/>
  <c r="H266" i="9"/>
  <c r="H294" i="9"/>
  <c r="H102" i="9"/>
  <c r="H276" i="9"/>
  <c r="L71" i="14"/>
  <c r="N66" i="10"/>
  <c r="N68" i="10" s="1"/>
  <c r="H79" i="10"/>
  <c r="I95" i="10" s="1"/>
  <c r="H76" i="10"/>
  <c r="N65" i="11"/>
  <c r="N134" i="11" s="1"/>
  <c r="N114" i="11" s="1"/>
  <c r="N133" i="11"/>
  <c r="N116" i="11" s="1"/>
  <c r="N166" i="11" s="1"/>
  <c r="N67" i="11"/>
  <c r="N135" i="11" s="1"/>
  <c r="N251" i="11" s="1"/>
  <c r="K168" i="12"/>
  <c r="J76" i="12"/>
  <c r="J94" i="12"/>
  <c r="J79" i="12"/>
  <c r="I79" i="12"/>
  <c r="I95" i="12" s="1"/>
  <c r="I76" i="12"/>
  <c r="I94" i="12"/>
  <c r="H284" i="13"/>
  <c r="H102" i="13"/>
  <c r="H266" i="13"/>
  <c r="H294" i="13"/>
  <c r="H254" i="13"/>
  <c r="H276" i="13"/>
  <c r="I76" i="15"/>
  <c r="I79" i="15"/>
  <c r="M66" i="15"/>
  <c r="M68" i="15" s="1"/>
  <c r="M71" i="15" s="1"/>
  <c r="H266" i="17"/>
  <c r="H276" i="17"/>
  <c r="H294" i="17"/>
  <c r="H254" i="17"/>
  <c r="H284" i="17"/>
  <c r="H102" i="17"/>
  <c r="N276" i="17"/>
  <c r="N294" i="17"/>
  <c r="N239" i="17"/>
  <c r="N26" i="17"/>
  <c r="N254" i="17"/>
  <c r="N215" i="17"/>
  <c r="N284" i="17"/>
  <c r="N102" i="17"/>
  <c r="O63" i="17"/>
  <c r="N266" i="17"/>
  <c r="N154" i="17"/>
  <c r="N189" i="17"/>
  <c r="K95" i="16"/>
  <c r="J95" i="16"/>
  <c r="N276" i="16"/>
  <c r="N294" i="16"/>
  <c r="N239" i="16"/>
  <c r="O63" i="16"/>
  <c r="N254" i="16"/>
  <c r="N215" i="16"/>
  <c r="N284" i="16"/>
  <c r="N102" i="16"/>
  <c r="N26" i="16"/>
  <c r="N266" i="16"/>
  <c r="N154" i="16"/>
  <c r="N189" i="16"/>
  <c r="O135" i="16"/>
  <c r="O251" i="16" s="1"/>
  <c r="O133" i="16"/>
  <c r="O249" i="16" s="1"/>
  <c r="O97" i="16"/>
  <c r="O134" i="16"/>
  <c r="O250" i="16" s="1"/>
  <c r="K73" i="16"/>
  <c r="K94" i="16" s="1"/>
  <c r="M71" i="16"/>
  <c r="M82" i="16"/>
  <c r="M84" i="16" s="1"/>
  <c r="M86" i="16" s="1"/>
  <c r="K93" i="16"/>
  <c r="K92" i="16"/>
  <c r="L82" i="16"/>
  <c r="L84" i="16" s="1"/>
  <c r="L86" i="16" s="1"/>
  <c r="L71" i="16"/>
  <c r="N276" i="15"/>
  <c r="N102" i="15"/>
  <c r="N294" i="15"/>
  <c r="N239" i="15"/>
  <c r="N26" i="15"/>
  <c r="N254" i="15"/>
  <c r="N154" i="15"/>
  <c r="N215" i="15"/>
  <c r="N284" i="15"/>
  <c r="O63" i="15"/>
  <c r="N266" i="15"/>
  <c r="N189" i="15"/>
  <c r="M82" i="15"/>
  <c r="M84" i="15" s="1"/>
  <c r="M86" i="15" s="1"/>
  <c r="J94" i="15"/>
  <c r="J79" i="15"/>
  <c r="J76" i="15"/>
  <c r="N65" i="15"/>
  <c r="N134" i="15" s="1"/>
  <c r="N250" i="15" s="1"/>
  <c r="O64" i="15"/>
  <c r="N97" i="15"/>
  <c r="N67" i="15"/>
  <c r="N135" i="15" s="1"/>
  <c r="N251" i="15" s="1"/>
  <c r="N133" i="15"/>
  <c r="N249" i="15" s="1"/>
  <c r="K72" i="15"/>
  <c r="K73" i="15" s="1"/>
  <c r="K92" i="15"/>
  <c r="K93" i="15"/>
  <c r="L72" i="15"/>
  <c r="L73" i="15" s="1"/>
  <c r="L92" i="15"/>
  <c r="L93" i="15"/>
  <c r="H76" i="15"/>
  <c r="H79" i="15"/>
  <c r="I95" i="15" s="1"/>
  <c r="I94" i="15"/>
  <c r="L107" i="14"/>
  <c r="L160" i="14"/>
  <c r="L257" i="14"/>
  <c r="L156" i="14" s="1"/>
  <c r="L83" i="14" s="1"/>
  <c r="L97" i="14" s="1"/>
  <c r="L256" i="14"/>
  <c r="L173" i="14" s="1"/>
  <c r="L174" i="14" s="1"/>
  <c r="K270" i="14"/>
  <c r="K157" i="14"/>
  <c r="L162" i="14"/>
  <c r="L163" i="14"/>
  <c r="L164" i="14"/>
  <c r="L117" i="14"/>
  <c r="L72" i="14"/>
  <c r="L73" i="14" s="1"/>
  <c r="L269" i="14"/>
  <c r="L157" i="14" s="1"/>
  <c r="M271" i="14"/>
  <c r="O294" i="14"/>
  <c r="O254" i="14"/>
  <c r="O26" i="14"/>
  <c r="O215" i="14"/>
  <c r="O266" i="14"/>
  <c r="O154" i="14"/>
  <c r="O189" i="14"/>
  <c r="O102" i="14"/>
  <c r="O276" i="14"/>
  <c r="O284" i="14"/>
  <c r="O239" i="14"/>
  <c r="L165" i="14"/>
  <c r="M66" i="14"/>
  <c r="M68" i="14" s="1"/>
  <c r="L255" i="14"/>
  <c r="K109" i="14"/>
  <c r="M106" i="14"/>
  <c r="M119" i="14"/>
  <c r="M167" i="14" s="1"/>
  <c r="M249" i="14"/>
  <c r="M104" i="14"/>
  <c r="M116" i="14"/>
  <c r="M166" i="14" s="1"/>
  <c r="M111" i="14"/>
  <c r="L161" i="14"/>
  <c r="K161" i="14"/>
  <c r="K107" i="14"/>
  <c r="J95" i="14"/>
  <c r="K95" i="14"/>
  <c r="K164" i="14"/>
  <c r="K117" i="14"/>
  <c r="N65" i="14"/>
  <c r="N134" i="14" s="1"/>
  <c r="O64" i="14"/>
  <c r="N67" i="14"/>
  <c r="N135" i="14" s="1"/>
  <c r="N251" i="14" s="1"/>
  <c r="N133" i="14"/>
  <c r="K72" i="14"/>
  <c r="K73" i="14" s="1"/>
  <c r="K92" i="14"/>
  <c r="K93" i="14"/>
  <c r="M115" i="14"/>
  <c r="M165" i="14" s="1"/>
  <c r="M250" i="14"/>
  <c r="M114" i="14"/>
  <c r="M105" i="14"/>
  <c r="N126" i="14"/>
  <c r="O277" i="14"/>
  <c r="O279" i="14" s="1"/>
  <c r="O126" i="14" s="1"/>
  <c r="J94" i="13"/>
  <c r="J79" i="13"/>
  <c r="J76" i="13"/>
  <c r="O294" i="13"/>
  <c r="O266" i="13"/>
  <c r="O154" i="13"/>
  <c r="O26" i="13"/>
  <c r="O189" i="13"/>
  <c r="O276" i="13"/>
  <c r="O239" i="13"/>
  <c r="O254" i="13"/>
  <c r="O215" i="13"/>
  <c r="O284" i="13"/>
  <c r="O102" i="13"/>
  <c r="K72" i="13"/>
  <c r="K73" i="13" s="1"/>
  <c r="K92" i="13"/>
  <c r="K93" i="13"/>
  <c r="M82" i="13"/>
  <c r="M84" i="13" s="1"/>
  <c r="M86" i="13" s="1"/>
  <c r="M71" i="13"/>
  <c r="H79" i="13"/>
  <c r="H76" i="13"/>
  <c r="M249" i="13"/>
  <c r="L82" i="13"/>
  <c r="L84" i="13" s="1"/>
  <c r="L86" i="13" s="1"/>
  <c r="L71" i="13"/>
  <c r="N65" i="13"/>
  <c r="N134" i="13" s="1"/>
  <c r="O64" i="13"/>
  <c r="N133" i="13"/>
  <c r="N97" i="13"/>
  <c r="N67" i="13"/>
  <c r="N135" i="13" s="1"/>
  <c r="N251" i="13" s="1"/>
  <c r="M250" i="13"/>
  <c r="I94" i="13"/>
  <c r="I79" i="13"/>
  <c r="I76" i="13"/>
  <c r="L155" i="12"/>
  <c r="M71" i="12"/>
  <c r="M82" i="12"/>
  <c r="M84" i="12" s="1"/>
  <c r="M86" i="12" s="1"/>
  <c r="O65" i="12"/>
  <c r="O134" i="12" s="1"/>
  <c r="O97" i="12"/>
  <c r="O67" i="12"/>
  <c r="O135" i="12" s="1"/>
  <c r="O251" i="12" s="1"/>
  <c r="O133" i="12"/>
  <c r="O66" i="12"/>
  <c r="O68" i="12" s="1"/>
  <c r="N250" i="12"/>
  <c r="N115" i="12"/>
  <c r="N165" i="12" s="1"/>
  <c r="N105" i="12"/>
  <c r="N114" i="12"/>
  <c r="N66" i="12"/>
  <c r="N68" i="12" s="1"/>
  <c r="M117" i="12"/>
  <c r="M164" i="12"/>
  <c r="L112" i="12"/>
  <c r="L148" i="12"/>
  <c r="L149" i="12" s="1"/>
  <c r="O294" i="12"/>
  <c r="O266" i="12"/>
  <c r="O189" i="12"/>
  <c r="O102" i="12"/>
  <c r="O276" i="12"/>
  <c r="O239" i="12"/>
  <c r="O26" i="12"/>
  <c r="O254" i="12"/>
  <c r="O154" i="12"/>
  <c r="O215" i="12"/>
  <c r="O284" i="12"/>
  <c r="H284" i="12"/>
  <c r="H294" i="12"/>
  <c r="H266" i="12"/>
  <c r="H102" i="12"/>
  <c r="H276" i="12"/>
  <c r="H254" i="12"/>
  <c r="N104" i="12"/>
  <c r="N116" i="12"/>
  <c r="N166" i="12" s="1"/>
  <c r="N106" i="12"/>
  <c r="N162" i="12" s="1"/>
  <c r="N249" i="12"/>
  <c r="K93" i="12"/>
  <c r="K92" i="12"/>
  <c r="K72" i="12"/>
  <c r="K73" i="12" s="1"/>
  <c r="M162" i="12"/>
  <c r="M107" i="12"/>
  <c r="M160" i="12"/>
  <c r="M161" i="12"/>
  <c r="N294" i="11"/>
  <c r="N215" i="11"/>
  <c r="O63" i="11"/>
  <c r="N266" i="11"/>
  <c r="N102" i="11"/>
  <c r="N276" i="11"/>
  <c r="N154" i="11"/>
  <c r="N189" i="11"/>
  <c r="N239" i="11"/>
  <c r="N26" i="11"/>
  <c r="N284" i="11"/>
  <c r="N254" i="11"/>
  <c r="L82" i="11"/>
  <c r="L84" i="11" s="1"/>
  <c r="L86" i="11" s="1"/>
  <c r="L71" i="11"/>
  <c r="M97" i="11"/>
  <c r="M174" i="11"/>
  <c r="L115" i="11"/>
  <c r="L165" i="11" s="1"/>
  <c r="L114" i="11"/>
  <c r="L105" i="11"/>
  <c r="L250" i="11"/>
  <c r="K93" i="11"/>
  <c r="K92" i="11"/>
  <c r="K174" i="11"/>
  <c r="M163" i="11"/>
  <c r="M134" i="11"/>
  <c r="M66" i="11"/>
  <c r="M68" i="11" s="1"/>
  <c r="M162" i="11"/>
  <c r="I95" i="11"/>
  <c r="K155" i="11"/>
  <c r="K170" i="11" s="1"/>
  <c r="K94" i="11"/>
  <c r="O67" i="11"/>
  <c r="O135" i="11" s="1"/>
  <c r="O251" i="11" s="1"/>
  <c r="O133" i="11"/>
  <c r="O65" i="11"/>
  <c r="O134" i="11" s="1"/>
  <c r="K168" i="11"/>
  <c r="H284" i="11"/>
  <c r="H254" i="11"/>
  <c r="H294" i="11"/>
  <c r="H266" i="11"/>
  <c r="H102" i="11"/>
  <c r="H276" i="11"/>
  <c r="N104" i="11"/>
  <c r="N249" i="11"/>
  <c r="N119" i="11"/>
  <c r="N167" i="11" s="1"/>
  <c r="K148" i="11"/>
  <c r="K149" i="11" s="1"/>
  <c r="K95" i="11"/>
  <c r="J95" i="11"/>
  <c r="M160" i="11"/>
  <c r="M117" i="10"/>
  <c r="M257" i="10"/>
  <c r="M156" i="10" s="1"/>
  <c r="M83" i="10" s="1"/>
  <c r="M97" i="10" s="1"/>
  <c r="M256" i="10"/>
  <c r="M173" i="10" s="1"/>
  <c r="M174" i="10" s="1"/>
  <c r="M107" i="10"/>
  <c r="M160" i="10"/>
  <c r="N82" i="10"/>
  <c r="N71" i="10"/>
  <c r="N106" i="10"/>
  <c r="N111" i="10"/>
  <c r="N119" i="10"/>
  <c r="N167" i="10" s="1"/>
  <c r="N249" i="10"/>
  <c r="N104" i="10"/>
  <c r="N116" i="10"/>
  <c r="N166" i="10" s="1"/>
  <c r="L82" i="10"/>
  <c r="L84" i="10" s="1"/>
  <c r="L86" i="10" s="1"/>
  <c r="L71" i="10"/>
  <c r="O65" i="10"/>
  <c r="O134" i="10" s="1"/>
  <c r="O67" i="10"/>
  <c r="O135" i="10" s="1"/>
  <c r="O251" i="10" s="1"/>
  <c r="O133" i="10"/>
  <c r="O66" i="10"/>
  <c r="O68" i="10" s="1"/>
  <c r="L115" i="10"/>
  <c r="L250" i="10"/>
  <c r="L114" i="10"/>
  <c r="L105" i="10"/>
  <c r="N250" i="10"/>
  <c r="N114" i="10"/>
  <c r="N105" i="10"/>
  <c r="N161" i="10" s="1"/>
  <c r="N115" i="10"/>
  <c r="N165" i="10" s="1"/>
  <c r="N294" i="10"/>
  <c r="N254" i="10"/>
  <c r="N26" i="10"/>
  <c r="N215" i="10"/>
  <c r="N266" i="10"/>
  <c r="N154" i="10"/>
  <c r="O63" i="10"/>
  <c r="N189" i="10"/>
  <c r="N102" i="10"/>
  <c r="N284" i="10"/>
  <c r="N276" i="10"/>
  <c r="N239" i="10"/>
  <c r="M271" i="10"/>
  <c r="K82" i="10"/>
  <c r="K84" i="10" s="1"/>
  <c r="K86" i="10" s="1"/>
  <c r="K71" i="10"/>
  <c r="K115" i="10"/>
  <c r="K165" i="10" s="1"/>
  <c r="K250" i="10"/>
  <c r="K114" i="10"/>
  <c r="K105" i="10"/>
  <c r="K95" i="10"/>
  <c r="J95" i="10"/>
  <c r="M68" i="10"/>
  <c r="L255" i="10"/>
  <c r="L258" i="10" s="1"/>
  <c r="K109" i="10"/>
  <c r="M162" i="10"/>
  <c r="K95" i="9"/>
  <c r="J95" i="9"/>
  <c r="K173" i="9"/>
  <c r="K174" i="9" s="1"/>
  <c r="K258" i="9"/>
  <c r="O277" i="9"/>
  <c r="O279" i="9" s="1"/>
  <c r="O126" i="9" s="1"/>
  <c r="N126" i="9"/>
  <c r="K114" i="9"/>
  <c r="K105" i="9"/>
  <c r="K250" i="9"/>
  <c r="K115" i="9"/>
  <c r="K165" i="9" s="1"/>
  <c r="K82" i="9"/>
  <c r="K84" i="9" s="1"/>
  <c r="K86" i="9" s="1"/>
  <c r="K71" i="9"/>
  <c r="L134" i="9"/>
  <c r="L66" i="9"/>
  <c r="L68" i="9" s="1"/>
  <c r="N90" i="9"/>
  <c r="M65" i="9"/>
  <c r="N189" i="9"/>
  <c r="N294" i="9"/>
  <c r="N254" i="9"/>
  <c r="N215" i="9"/>
  <c r="O63" i="9"/>
  <c r="N154" i="9"/>
  <c r="N266" i="9"/>
  <c r="N102" i="9"/>
  <c r="N239" i="9"/>
  <c r="N276" i="9"/>
  <c r="N26" i="9"/>
  <c r="N284" i="9"/>
  <c r="N104" i="9"/>
  <c r="N160" i="9" s="1"/>
  <c r="N116" i="9"/>
  <c r="N166" i="9" s="1"/>
  <c r="N249" i="9"/>
  <c r="N269" i="9" s="1"/>
  <c r="N157" i="9" s="1"/>
  <c r="N111" i="9"/>
  <c r="N106" i="9"/>
  <c r="N119" i="9"/>
  <c r="N167" i="9" s="1"/>
  <c r="O133" i="9"/>
  <c r="O67" i="9"/>
  <c r="O135" i="9" s="1"/>
  <c r="O251" i="9" s="1"/>
  <c r="K157" i="9"/>
  <c r="K270" i="9"/>
  <c r="M163" i="9"/>
  <c r="M257" i="9"/>
  <c r="M156" i="9" s="1"/>
  <c r="M83" i="9" s="1"/>
  <c r="M97" i="9" s="1"/>
  <c r="M256" i="9"/>
  <c r="M173" i="9" s="1"/>
  <c r="M174" i="9" s="1"/>
  <c r="O271" i="9"/>
  <c r="L155" i="8"/>
  <c r="L286" i="8"/>
  <c r="L287" i="8" s="1"/>
  <c r="O277" i="8"/>
  <c r="O279" i="8" s="1"/>
  <c r="O126" i="8" s="1"/>
  <c r="N126" i="8"/>
  <c r="M164" i="8"/>
  <c r="M117" i="8"/>
  <c r="M163" i="8"/>
  <c r="O133" i="8"/>
  <c r="O65" i="8"/>
  <c r="O134" i="8" s="1"/>
  <c r="O67" i="8"/>
  <c r="O135" i="8" s="1"/>
  <c r="O251" i="8" s="1"/>
  <c r="M162" i="8"/>
  <c r="N250" i="8"/>
  <c r="N115" i="8"/>
  <c r="N165" i="8" s="1"/>
  <c r="N114" i="8"/>
  <c r="N105" i="8"/>
  <c r="K258" i="8"/>
  <c r="K173" i="8"/>
  <c r="K174" i="8" s="1"/>
  <c r="N111" i="8"/>
  <c r="N163" i="8" s="1"/>
  <c r="N106" i="8"/>
  <c r="N119" i="8"/>
  <c r="N167" i="8" s="1"/>
  <c r="N116" i="8"/>
  <c r="N166" i="8" s="1"/>
  <c r="N249" i="8"/>
  <c r="N104" i="8"/>
  <c r="K92" i="8"/>
  <c r="K93" i="8"/>
  <c r="N66" i="8"/>
  <c r="N68" i="8" s="1"/>
  <c r="K72" i="8"/>
  <c r="K73" i="8" s="1"/>
  <c r="M71" i="8"/>
  <c r="M82" i="8"/>
  <c r="M84" i="8" s="1"/>
  <c r="M86" i="8" s="1"/>
  <c r="K168" i="8"/>
  <c r="L269" i="8"/>
  <c r="L157" i="8" s="1"/>
  <c r="M271" i="8"/>
  <c r="L168" i="8"/>
  <c r="K157" i="8"/>
  <c r="K270" i="8"/>
  <c r="K148" i="8"/>
  <c r="K149" i="8" s="1"/>
  <c r="H276" i="8"/>
  <c r="H284" i="8"/>
  <c r="H102" i="8"/>
  <c r="H294" i="8"/>
  <c r="H254" i="8"/>
  <c r="H266" i="8"/>
  <c r="N189" i="8"/>
  <c r="N102" i="8"/>
  <c r="N294" i="8"/>
  <c r="N254" i="8"/>
  <c r="N239" i="8"/>
  <c r="N154" i="8"/>
  <c r="N266" i="8"/>
  <c r="N26" i="8"/>
  <c r="N276" i="8"/>
  <c r="N284" i="8"/>
  <c r="N215" i="8"/>
  <c r="O63" i="8"/>
  <c r="L148" i="8"/>
  <c r="L149" i="8" s="1"/>
  <c r="N160" i="8"/>
  <c r="M107" i="8"/>
  <c r="M257" i="8"/>
  <c r="M156" i="8" s="1"/>
  <c r="M83" i="8" s="1"/>
  <c r="M97" i="8" s="1"/>
  <c r="M256" i="8"/>
  <c r="M173" i="8" s="1"/>
  <c r="M174" i="8" s="1"/>
  <c r="N66" i="7"/>
  <c r="N68" i="7" s="1"/>
  <c r="M256" i="7"/>
  <c r="M173" i="7" s="1"/>
  <c r="M174" i="7" s="1"/>
  <c r="O133" i="7"/>
  <c r="O67" i="7"/>
  <c r="O135" i="7" s="1"/>
  <c r="O251" i="7" s="1"/>
  <c r="O65" i="7"/>
  <c r="O134" i="7" s="1"/>
  <c r="K258" i="7"/>
  <c r="K173" i="7"/>
  <c r="K174" i="7" s="1"/>
  <c r="M82" i="7"/>
  <c r="O277" i="7"/>
  <c r="O279" i="7" s="1"/>
  <c r="O126" i="7" s="1"/>
  <c r="N126" i="7"/>
  <c r="K72" i="7"/>
  <c r="K73" i="7" s="1"/>
  <c r="K84" i="7"/>
  <c r="K86" i="7" s="1"/>
  <c r="L93" i="7" s="1"/>
  <c r="M164" i="7"/>
  <c r="M117" i="7"/>
  <c r="M163" i="7"/>
  <c r="M161" i="7"/>
  <c r="L92" i="7"/>
  <c r="N189" i="7"/>
  <c r="N294" i="7"/>
  <c r="O63" i="7"/>
  <c r="N254" i="7"/>
  <c r="N154" i="7"/>
  <c r="N102" i="7"/>
  <c r="N266" i="7"/>
  <c r="N239" i="7"/>
  <c r="N26" i="7"/>
  <c r="N276" i="7"/>
  <c r="N284" i="7"/>
  <c r="N215" i="7"/>
  <c r="L72" i="7"/>
  <c r="L73" i="7" s="1"/>
  <c r="L269" i="7"/>
  <c r="L157" i="7" s="1"/>
  <c r="M271" i="7"/>
  <c r="M160" i="7"/>
  <c r="J286" i="7"/>
  <c r="J289" i="7" s="1"/>
  <c r="J76" i="7"/>
  <c r="J79" i="7"/>
  <c r="J94" i="7"/>
  <c r="K157" i="7"/>
  <c r="K270" i="7"/>
  <c r="K161" i="7"/>
  <c r="L161" i="7"/>
  <c r="K164" i="7"/>
  <c r="K117" i="7"/>
  <c r="N250" i="7"/>
  <c r="N115" i="7"/>
  <c r="N165" i="7" s="1"/>
  <c r="N114" i="7"/>
  <c r="N105" i="7"/>
  <c r="N111" i="7"/>
  <c r="N163" i="7" s="1"/>
  <c r="N106" i="7"/>
  <c r="N119" i="7"/>
  <c r="N167" i="7" s="1"/>
  <c r="N249" i="7"/>
  <c r="N104" i="7"/>
  <c r="N160" i="7" s="1"/>
  <c r="N116" i="7"/>
  <c r="N166" i="7" s="1"/>
  <c r="H79" i="6"/>
  <c r="H76" i="6"/>
  <c r="H286" i="6"/>
  <c r="H289" i="6" s="1"/>
  <c r="N228" i="6"/>
  <c r="M122" i="6"/>
  <c r="N294" i="6"/>
  <c r="N254" i="6"/>
  <c r="N26" i="6"/>
  <c r="N189" i="6"/>
  <c r="N154" i="6"/>
  <c r="N102" i="6"/>
  <c r="N284" i="6"/>
  <c r="N266" i="6"/>
  <c r="O63" i="6"/>
  <c r="N215" i="6"/>
  <c r="N239" i="6"/>
  <c r="N276" i="6"/>
  <c r="J79" i="6"/>
  <c r="J76" i="6"/>
  <c r="J286" i="6"/>
  <c r="J289" i="6" s="1"/>
  <c r="J94" i="6"/>
  <c r="L269" i="6"/>
  <c r="L157" i="6" s="1"/>
  <c r="M271" i="6"/>
  <c r="K157" i="6"/>
  <c r="K270" i="6"/>
  <c r="O277" i="6"/>
  <c r="O279" i="6" s="1"/>
  <c r="O126" i="6" s="1"/>
  <c r="N126" i="6"/>
  <c r="I94" i="6"/>
  <c r="I79" i="6"/>
  <c r="I95" i="6" s="1"/>
  <c r="I76" i="6"/>
  <c r="I286" i="6"/>
  <c r="I289" i="6" s="1"/>
  <c r="K258" i="6"/>
  <c r="K173" i="6"/>
  <c r="K174" i="6" s="1"/>
  <c r="L82" i="6"/>
  <c r="K168" i="6"/>
  <c r="M116" i="6"/>
  <c r="M166" i="6" s="1"/>
  <c r="M111" i="6"/>
  <c r="M106" i="6"/>
  <c r="M162" i="6" s="1"/>
  <c r="M119" i="6"/>
  <c r="M167" i="6" s="1"/>
  <c r="M249" i="6"/>
  <c r="M104" i="6"/>
  <c r="M160" i="6" s="1"/>
  <c r="L257" i="6"/>
  <c r="L156" i="6" s="1"/>
  <c r="L83" i="6" s="1"/>
  <c r="L97" i="6" s="1"/>
  <c r="L256" i="6"/>
  <c r="L173" i="6" s="1"/>
  <c r="L174" i="6" s="1"/>
  <c r="L160" i="6"/>
  <c r="N65" i="6"/>
  <c r="N134" i="6" s="1"/>
  <c r="O64" i="6"/>
  <c r="N133" i="6"/>
  <c r="N67" i="6"/>
  <c r="N135" i="6" s="1"/>
  <c r="N251" i="6" s="1"/>
  <c r="L164" i="6"/>
  <c r="L117" i="6"/>
  <c r="M250" i="6"/>
  <c r="M115" i="6"/>
  <c r="M165" i="6" s="1"/>
  <c r="M114" i="6"/>
  <c r="M105" i="6"/>
  <c r="M161" i="6" s="1"/>
  <c r="M46" i="30" l="1"/>
  <c r="M48" i="30" s="1"/>
  <c r="M54" i="30" s="1"/>
  <c r="L190" i="30"/>
  <c r="L37" i="30" s="1"/>
  <c r="K54" i="27"/>
  <c r="N46" i="30"/>
  <c r="N48" i="30" s="1"/>
  <c r="N54" i="30" s="1"/>
  <c r="N198" i="30"/>
  <c r="N200" i="30" s="1"/>
  <c r="N208" i="30" s="1"/>
  <c r="N196" i="30"/>
  <c r="M209" i="30"/>
  <c r="O194" i="30"/>
  <c r="O102" i="30"/>
  <c r="N89" i="30"/>
  <c r="O101" i="30"/>
  <c r="O45" i="30"/>
  <c r="O59" i="30" s="1"/>
  <c r="O254" i="18"/>
  <c r="O26" i="18"/>
  <c r="O154" i="18"/>
  <c r="O102" i="18"/>
  <c r="O266" i="18"/>
  <c r="O276" i="18"/>
  <c r="O284" i="18"/>
  <c r="O294" i="18"/>
  <c r="O215" i="18"/>
  <c r="O37" i="18"/>
  <c r="O189" i="18"/>
  <c r="O239" i="18"/>
  <c r="L42" i="28"/>
  <c r="O28" i="28"/>
  <c r="M83" i="28"/>
  <c r="M97" i="28" s="1"/>
  <c r="O67" i="28"/>
  <c r="O147" i="28" s="1"/>
  <c r="O65" i="28"/>
  <c r="O146" i="28" s="1"/>
  <c r="M109" i="28"/>
  <c r="M117" i="28"/>
  <c r="N173" i="28"/>
  <c r="N131" i="28"/>
  <c r="N185" i="28" s="1"/>
  <c r="N33" i="28" s="1"/>
  <c r="N116" i="28"/>
  <c r="N178" i="28" s="1"/>
  <c r="O145" i="28"/>
  <c r="O131" i="28" s="1"/>
  <c r="O185" i="28" s="1"/>
  <c r="N177" i="28"/>
  <c r="N133" i="28"/>
  <c r="N83" i="28" s="1"/>
  <c r="N97" i="28" s="1"/>
  <c r="N104" i="28"/>
  <c r="N172" i="28" s="1"/>
  <c r="N119" i="28"/>
  <c r="N179" i="28" s="1"/>
  <c r="N106" i="28"/>
  <c r="N174" i="28" s="1"/>
  <c r="N136" i="28"/>
  <c r="N269" i="28" s="1"/>
  <c r="M169" i="28"/>
  <c r="N68" i="28"/>
  <c r="N82" i="28" s="1"/>
  <c r="M180" i="28"/>
  <c r="M41" i="28" s="1"/>
  <c r="M33" i="28"/>
  <c r="M34" i="28" s="1"/>
  <c r="N175" i="28"/>
  <c r="K267" i="28"/>
  <c r="K78" i="28" s="1"/>
  <c r="K75" i="28"/>
  <c r="K93" i="28"/>
  <c r="K92" i="28"/>
  <c r="K29" i="28"/>
  <c r="L284" i="28"/>
  <c r="M273" i="28"/>
  <c r="M275" i="28" s="1"/>
  <c r="M283" i="28" s="1"/>
  <c r="M271" i="28"/>
  <c r="N242" i="28"/>
  <c r="N244" i="28"/>
  <c r="N245" i="28" s="1"/>
  <c r="N176" i="28"/>
  <c r="N140" i="28"/>
  <c r="L86" i="28"/>
  <c r="L38" i="28"/>
  <c r="M101" i="27"/>
  <c r="M194" i="27"/>
  <c r="M198" i="27" s="1"/>
  <c r="M200" i="27" s="1"/>
  <c r="M208" i="27" s="1"/>
  <c r="N82" i="27"/>
  <c r="N101" i="27" s="1"/>
  <c r="N85" i="27"/>
  <c r="N102" i="27" s="1"/>
  <c r="N80" i="27"/>
  <c r="N109" i="27" s="1"/>
  <c r="N110" i="27" s="1"/>
  <c r="N30" i="27"/>
  <c r="N44" i="27" s="1"/>
  <c r="O92" i="27"/>
  <c r="M46" i="27"/>
  <c r="M48" i="27" s="1"/>
  <c r="M55" i="27" s="1"/>
  <c r="O29" i="27"/>
  <c r="O94" i="27" s="1"/>
  <c r="O28" i="27"/>
  <c r="L209" i="27"/>
  <c r="M207" i="27" s="1"/>
  <c r="K192" i="27"/>
  <c r="K40" i="27" s="1"/>
  <c r="K37" i="27"/>
  <c r="L54" i="27"/>
  <c r="L55" i="27"/>
  <c r="M89" i="27"/>
  <c r="O169" i="26"/>
  <c r="O269" i="26"/>
  <c r="M84" i="26"/>
  <c r="M86" i="26" s="1"/>
  <c r="M92" i="26" s="1"/>
  <c r="N97" i="26"/>
  <c r="O83" i="26"/>
  <c r="O168" i="26"/>
  <c r="O125" i="26"/>
  <c r="O109" i="26"/>
  <c r="M186" i="26"/>
  <c r="N117" i="26"/>
  <c r="M180" i="26"/>
  <c r="M41" i="26" s="1"/>
  <c r="K86" i="26"/>
  <c r="K93" i="26" s="1"/>
  <c r="L180" i="26"/>
  <c r="L41" i="26" s="1"/>
  <c r="O105" i="26"/>
  <c r="O173" i="26" s="1"/>
  <c r="L97" i="26"/>
  <c r="L84" i="26"/>
  <c r="L86" i="26" s="1"/>
  <c r="L29" i="26" s="1"/>
  <c r="L33" i="26"/>
  <c r="L186" i="26"/>
  <c r="O66" i="26"/>
  <c r="O68" i="26" s="1"/>
  <c r="O82" i="26" s="1"/>
  <c r="O114" i="26"/>
  <c r="O115" i="26"/>
  <c r="O177" i="26" s="1"/>
  <c r="N84" i="26"/>
  <c r="N86" i="26" s="1"/>
  <c r="N66" i="25"/>
  <c r="N68" i="25" s="1"/>
  <c r="N82" i="25" s="1"/>
  <c r="N180" i="26"/>
  <c r="N41" i="26" s="1"/>
  <c r="M42" i="26"/>
  <c r="M34" i="26"/>
  <c r="M122" i="26"/>
  <c r="M50" i="26" s="1"/>
  <c r="N240" i="26"/>
  <c r="M244" i="26"/>
  <c r="M245" i="26" s="1"/>
  <c r="L273" i="26"/>
  <c r="L275" i="26" s="1"/>
  <c r="L283" i="26" s="1"/>
  <c r="L271" i="26"/>
  <c r="N33" i="26"/>
  <c r="N186" i="26"/>
  <c r="L267" i="25"/>
  <c r="L270" i="25" s="1"/>
  <c r="M267" i="25" s="1"/>
  <c r="K42" i="26"/>
  <c r="K34" i="26"/>
  <c r="L282" i="26"/>
  <c r="K265" i="26"/>
  <c r="L279" i="25"/>
  <c r="L282" i="25" s="1"/>
  <c r="M279" i="25" s="1"/>
  <c r="N114" i="25"/>
  <c r="N176" i="25" s="1"/>
  <c r="N262" i="25"/>
  <c r="N175" i="25"/>
  <c r="N179" i="25"/>
  <c r="N172" i="25"/>
  <c r="N115" i="25"/>
  <c r="N177" i="25" s="1"/>
  <c r="N173" i="25"/>
  <c r="N178" i="25"/>
  <c r="O27" i="25"/>
  <c r="O28" i="25" s="1"/>
  <c r="M281" i="25"/>
  <c r="M169" i="25" s="1"/>
  <c r="N174" i="25"/>
  <c r="O65" i="25"/>
  <c r="O146" i="25" s="1"/>
  <c r="O114" i="25" s="1"/>
  <c r="O67" i="25"/>
  <c r="O147" i="25" s="1"/>
  <c r="O263" i="25" s="1"/>
  <c r="M117" i="25"/>
  <c r="M268" i="25"/>
  <c r="M185" i="25" s="1"/>
  <c r="M33" i="25" s="1"/>
  <c r="O136" i="25"/>
  <c r="O131" i="25"/>
  <c r="L38" i="25"/>
  <c r="M84" i="25"/>
  <c r="M86" i="25" s="1"/>
  <c r="M180" i="25"/>
  <c r="M41" i="25" s="1"/>
  <c r="M122" i="25"/>
  <c r="M50" i="25" s="1"/>
  <c r="N240" i="25"/>
  <c r="M244" i="25"/>
  <c r="M245" i="25" s="1"/>
  <c r="O283" i="25"/>
  <c r="N281" i="25"/>
  <c r="K30" i="25"/>
  <c r="K34" i="25"/>
  <c r="K42" i="25"/>
  <c r="L92" i="25"/>
  <c r="L29" i="25"/>
  <c r="L93" i="25"/>
  <c r="N269" i="25"/>
  <c r="N168" i="25" s="1"/>
  <c r="N83" i="25" s="1"/>
  <c r="N97" i="25" s="1"/>
  <c r="N268" i="25"/>
  <c r="N185" i="25" s="1"/>
  <c r="L327" i="25"/>
  <c r="K310" i="25"/>
  <c r="O261" i="25"/>
  <c r="O104" i="25"/>
  <c r="O172" i="25" s="1"/>
  <c r="O106" i="25"/>
  <c r="O174" i="25" s="1"/>
  <c r="O116" i="25"/>
  <c r="O178" i="25" s="1"/>
  <c r="O111" i="25"/>
  <c r="O175" i="25" s="1"/>
  <c r="O119" i="25"/>
  <c r="O179" i="25" s="1"/>
  <c r="L318" i="25"/>
  <c r="L320" i="25" s="1"/>
  <c r="L328" i="25" s="1"/>
  <c r="L316" i="25"/>
  <c r="L34" i="25"/>
  <c r="L42" i="25"/>
  <c r="M66" i="24"/>
  <c r="M68" i="24" s="1"/>
  <c r="M82" i="24" s="1"/>
  <c r="M111" i="24"/>
  <c r="M163" i="24" s="1"/>
  <c r="M115" i="24"/>
  <c r="M165" i="24" s="1"/>
  <c r="M105" i="24"/>
  <c r="M161" i="24" s="1"/>
  <c r="M114" i="24"/>
  <c r="M164" i="24" s="1"/>
  <c r="N28" i="24"/>
  <c r="L117" i="24"/>
  <c r="M119" i="24"/>
  <c r="M167" i="24" s="1"/>
  <c r="M106" i="24"/>
  <c r="M162" i="24" s="1"/>
  <c r="M249" i="24"/>
  <c r="M269" i="24" s="1"/>
  <c r="M104" i="24"/>
  <c r="M160" i="24" s="1"/>
  <c r="K270" i="24"/>
  <c r="L267" i="24" s="1"/>
  <c r="L270" i="24" s="1"/>
  <c r="K157" i="24"/>
  <c r="K258" i="24"/>
  <c r="L255" i="24" s="1"/>
  <c r="L258" i="24" s="1"/>
  <c r="O256" i="22"/>
  <c r="O177" i="22"/>
  <c r="O151" i="22"/>
  <c r="O117" i="22"/>
  <c r="O238" i="22"/>
  <c r="O201" i="22"/>
  <c r="O228" i="22"/>
  <c r="O216" i="22"/>
  <c r="O65" i="22"/>
  <c r="O246" i="22"/>
  <c r="K84" i="24"/>
  <c r="L168" i="24"/>
  <c r="L41" i="24" s="1"/>
  <c r="O294" i="24"/>
  <c r="O254" i="24"/>
  <c r="O239" i="24"/>
  <c r="O154" i="24"/>
  <c r="O284" i="24"/>
  <c r="O215" i="24"/>
  <c r="O102" i="24"/>
  <c r="O37" i="24"/>
  <c r="O189" i="24"/>
  <c r="O26" i="24"/>
  <c r="O266" i="24"/>
  <c r="O276" i="24"/>
  <c r="N271" i="24"/>
  <c r="L157" i="24"/>
  <c r="L302" i="24"/>
  <c r="N115" i="24"/>
  <c r="N250" i="24"/>
  <c r="N105" i="24"/>
  <c r="N114" i="24"/>
  <c r="N66" i="24"/>
  <c r="N68" i="24" s="1"/>
  <c r="K174" i="24"/>
  <c r="K33" i="24"/>
  <c r="O133" i="24"/>
  <c r="O67" i="24"/>
  <c r="O135" i="24" s="1"/>
  <c r="O251" i="24" s="1"/>
  <c r="O27" i="24"/>
  <c r="O28" i="24" s="1"/>
  <c r="O65" i="24"/>
  <c r="O134" i="24" s="1"/>
  <c r="N228" i="24"/>
  <c r="M122" i="24"/>
  <c r="M50" i="24" s="1"/>
  <c r="K306" i="24"/>
  <c r="K308" i="24" s="1"/>
  <c r="K316" i="24" s="1"/>
  <c r="K317" i="24" s="1"/>
  <c r="K304" i="24"/>
  <c r="L174" i="24"/>
  <c r="L33" i="24"/>
  <c r="L84" i="24"/>
  <c r="N116" i="24"/>
  <c r="N166" i="24" s="1"/>
  <c r="N104" i="24"/>
  <c r="N249" i="24"/>
  <c r="N119" i="24"/>
  <c r="N106" i="24"/>
  <c r="N111" i="24"/>
  <c r="L219" i="22"/>
  <c r="L119" i="22" s="1"/>
  <c r="L46" i="22" s="1"/>
  <c r="L60" i="22" s="1"/>
  <c r="M128" i="22"/>
  <c r="M124" i="22"/>
  <c r="L218" i="22"/>
  <c r="L135" i="22" s="1"/>
  <c r="L136" i="22" s="1"/>
  <c r="L124" i="22"/>
  <c r="L130" i="22" s="1"/>
  <c r="L80" i="22"/>
  <c r="K220" i="22"/>
  <c r="K72" i="22" s="1"/>
  <c r="M129" i="22"/>
  <c r="K232" i="22"/>
  <c r="K88" i="22" s="1"/>
  <c r="M122" i="22"/>
  <c r="M127" i="22"/>
  <c r="M126" i="22"/>
  <c r="N29" i="22"/>
  <c r="N31" i="22" s="1"/>
  <c r="N45" i="22" s="1"/>
  <c r="K268" i="22"/>
  <c r="K270" i="22" s="1"/>
  <c r="K278" i="22" s="1"/>
  <c r="K279" i="22" s="1"/>
  <c r="K266" i="22"/>
  <c r="N78" i="22"/>
  <c r="N212" i="22"/>
  <c r="N68" i="22"/>
  <c r="N123" i="22" s="1"/>
  <c r="N77" i="22"/>
  <c r="N126" i="22" s="1"/>
  <c r="N79" i="22"/>
  <c r="N128" i="22" s="1"/>
  <c r="N67" i="22"/>
  <c r="N122" i="22" s="1"/>
  <c r="N69" i="22"/>
  <c r="N211" i="22"/>
  <c r="N82" i="22"/>
  <c r="N129" i="22" s="1"/>
  <c r="N74" i="22"/>
  <c r="N125" i="22" s="1"/>
  <c r="L264" i="22"/>
  <c r="K136" i="22"/>
  <c r="O96" i="22"/>
  <c r="O28" i="22"/>
  <c r="O97" i="22" s="1"/>
  <c r="O30" i="22"/>
  <c r="O98" i="22" s="1"/>
  <c r="O213" i="22" s="1"/>
  <c r="M219" i="22"/>
  <c r="M119" i="22" s="1"/>
  <c r="M46" i="22" s="1"/>
  <c r="M60" i="22" s="1"/>
  <c r="M218" i="22"/>
  <c r="M135" i="22" s="1"/>
  <c r="M231" i="22"/>
  <c r="M80" i="22"/>
  <c r="M123" i="22"/>
  <c r="M125" i="22"/>
  <c r="K49" i="22"/>
  <c r="N192" i="22"/>
  <c r="N194" i="22" s="1"/>
  <c r="N195" i="22" s="1"/>
  <c r="L38" i="19"/>
  <c r="K92" i="6"/>
  <c r="L168" i="7"/>
  <c r="K168" i="7"/>
  <c r="O66" i="7"/>
  <c r="O68" i="7" s="1"/>
  <c r="M84" i="7"/>
  <c r="M86" i="7" s="1"/>
  <c r="L181" i="8"/>
  <c r="L200" i="8"/>
  <c r="L93" i="8"/>
  <c r="N106" i="11"/>
  <c r="O162" i="11" s="1"/>
  <c r="O66" i="11"/>
  <c r="O68" i="11" s="1"/>
  <c r="N111" i="11"/>
  <c r="N163" i="11" s="1"/>
  <c r="N105" i="11"/>
  <c r="L170" i="12"/>
  <c r="L184" i="12" s="1"/>
  <c r="N66" i="13"/>
  <c r="N68" i="13" s="1"/>
  <c r="N82" i="13" s="1"/>
  <c r="N84" i="13" s="1"/>
  <c r="N86" i="13" s="1"/>
  <c r="M119" i="20"/>
  <c r="M167" i="20" s="1"/>
  <c r="M104" i="20"/>
  <c r="M160" i="20" s="1"/>
  <c r="M106" i="20"/>
  <c r="M162" i="20" s="1"/>
  <c r="M116" i="20"/>
  <c r="M166" i="20" s="1"/>
  <c r="M115" i="20"/>
  <c r="M165" i="20" s="1"/>
  <c r="M66" i="20"/>
  <c r="M68" i="20" s="1"/>
  <c r="M82" i="20" s="1"/>
  <c r="M111" i="20"/>
  <c r="M163" i="20" s="1"/>
  <c r="M250" i="20"/>
  <c r="M114" i="20"/>
  <c r="M164" i="20" s="1"/>
  <c r="M105" i="20"/>
  <c r="M161" i="20" s="1"/>
  <c r="N27" i="20"/>
  <c r="N28" i="20" s="1"/>
  <c r="N133" i="20"/>
  <c r="N249" i="20" s="1"/>
  <c r="O64" i="20"/>
  <c r="O65" i="20" s="1"/>
  <c r="O134" i="20" s="1"/>
  <c r="N67" i="20"/>
  <c r="N135" i="20" s="1"/>
  <c r="N251" i="20" s="1"/>
  <c r="L84" i="20"/>
  <c r="L38" i="20" s="1"/>
  <c r="L117" i="20"/>
  <c r="K302" i="20"/>
  <c r="K157" i="20"/>
  <c r="K270" i="20"/>
  <c r="K258" i="20"/>
  <c r="K173" i="20"/>
  <c r="K84" i="20"/>
  <c r="O271" i="20"/>
  <c r="N66" i="20"/>
  <c r="M302" i="20"/>
  <c r="M157" i="20"/>
  <c r="L33" i="20"/>
  <c r="L174" i="20"/>
  <c r="L168" i="20"/>
  <c r="L41" i="20" s="1"/>
  <c r="M256" i="20"/>
  <c r="M173" i="20" s="1"/>
  <c r="M257" i="20"/>
  <c r="M156" i="20" s="1"/>
  <c r="M83" i="20" s="1"/>
  <c r="M97" i="20" s="1"/>
  <c r="N250" i="20"/>
  <c r="N114" i="20"/>
  <c r="N105" i="20"/>
  <c r="M122" i="20"/>
  <c r="M50" i="20" s="1"/>
  <c r="N228" i="20"/>
  <c r="J95" i="20"/>
  <c r="L304" i="20"/>
  <c r="L306" i="20"/>
  <c r="L308" i="20" s="1"/>
  <c r="L316" i="20" s="1"/>
  <c r="L304" i="19"/>
  <c r="L306" i="19"/>
  <c r="L308" i="19" s="1"/>
  <c r="L316" i="19" s="1"/>
  <c r="N82" i="19"/>
  <c r="K174" i="19"/>
  <c r="K33" i="19"/>
  <c r="L93" i="19"/>
  <c r="L92" i="19"/>
  <c r="L29" i="19"/>
  <c r="K109" i="19"/>
  <c r="L255" i="19"/>
  <c r="L258" i="19" s="1"/>
  <c r="M302" i="19"/>
  <c r="M157" i="19"/>
  <c r="L42" i="19"/>
  <c r="L34" i="19"/>
  <c r="N164" i="19"/>
  <c r="N117" i="19"/>
  <c r="K86" i="19"/>
  <c r="O104" i="19"/>
  <c r="O160" i="19" s="1"/>
  <c r="O116" i="19"/>
  <c r="O166" i="19" s="1"/>
  <c r="O111" i="19"/>
  <c r="O163" i="19" s="1"/>
  <c r="O106" i="19"/>
  <c r="O162" i="19" s="1"/>
  <c r="O119" i="19"/>
  <c r="O167" i="19" s="1"/>
  <c r="O249" i="19"/>
  <c r="M84" i="19"/>
  <c r="M174" i="19"/>
  <c r="M33" i="19"/>
  <c r="O250" i="19"/>
  <c r="O115" i="19"/>
  <c r="O165" i="19" s="1"/>
  <c r="O114" i="19"/>
  <c r="O105" i="19"/>
  <c r="O161" i="19" s="1"/>
  <c r="N269" i="19"/>
  <c r="O271" i="19"/>
  <c r="M122" i="19"/>
  <c r="M50" i="19" s="1"/>
  <c r="N228" i="19"/>
  <c r="O66" i="19"/>
  <c r="O68" i="19" s="1"/>
  <c r="L267" i="19"/>
  <c r="L270" i="19" s="1"/>
  <c r="K125" i="19"/>
  <c r="N256" i="19"/>
  <c r="N173" i="19" s="1"/>
  <c r="N257" i="19"/>
  <c r="N156" i="19" s="1"/>
  <c r="N83" i="19" s="1"/>
  <c r="N97" i="19" s="1"/>
  <c r="K304" i="19"/>
  <c r="K306" i="19"/>
  <c r="K308" i="19" s="1"/>
  <c r="K316" i="19" s="1"/>
  <c r="K317" i="19" s="1"/>
  <c r="N160" i="19"/>
  <c r="K86" i="18"/>
  <c r="O65" i="18"/>
  <c r="O134" i="18" s="1"/>
  <c r="O133" i="18"/>
  <c r="O67" i="18"/>
  <c r="O135" i="18" s="1"/>
  <c r="O251" i="18" s="1"/>
  <c r="N250" i="18"/>
  <c r="N115" i="18"/>
  <c r="N165" i="18" s="1"/>
  <c r="N114" i="18"/>
  <c r="N105" i="18"/>
  <c r="N104" i="18"/>
  <c r="N160" i="18" s="1"/>
  <c r="N116" i="18"/>
  <c r="N166" i="18" s="1"/>
  <c r="N111" i="18"/>
  <c r="N163" i="18" s="1"/>
  <c r="N106" i="18"/>
  <c r="N119" i="18"/>
  <c r="N167" i="18" s="1"/>
  <c r="N249" i="18"/>
  <c r="N269" i="18" s="1"/>
  <c r="L174" i="18"/>
  <c r="N66" i="18"/>
  <c r="N68" i="18" s="1"/>
  <c r="M164" i="18"/>
  <c r="M117" i="18"/>
  <c r="M122" i="18"/>
  <c r="N228" i="18"/>
  <c r="M256" i="18"/>
  <c r="M173" i="18" s="1"/>
  <c r="M257" i="18"/>
  <c r="M156" i="18" s="1"/>
  <c r="M83" i="18" s="1"/>
  <c r="M97" i="18" s="1"/>
  <c r="M161" i="18"/>
  <c r="K174" i="18"/>
  <c r="O271" i="18"/>
  <c r="K109" i="18"/>
  <c r="L255" i="18"/>
  <c r="L258" i="18" s="1"/>
  <c r="M82" i="18"/>
  <c r="M269" i="18"/>
  <c r="M267" i="18"/>
  <c r="M270" i="18" s="1"/>
  <c r="L125" i="18"/>
  <c r="L84" i="18"/>
  <c r="M163" i="18"/>
  <c r="N66" i="6"/>
  <c r="L168" i="6"/>
  <c r="L84" i="6"/>
  <c r="L86" i="6" s="1"/>
  <c r="L92" i="6" s="1"/>
  <c r="M168" i="8"/>
  <c r="O66" i="8"/>
  <c r="O68" i="8" s="1"/>
  <c r="O82" i="8" s="1"/>
  <c r="L84" i="14"/>
  <c r="L86" i="14" s="1"/>
  <c r="L93" i="14" s="1"/>
  <c r="L258" i="14"/>
  <c r="M255" i="14" s="1"/>
  <c r="N66" i="14"/>
  <c r="N68" i="14" s="1"/>
  <c r="N82" i="14" s="1"/>
  <c r="N250" i="11"/>
  <c r="N115" i="11"/>
  <c r="N117" i="11" s="1"/>
  <c r="N66" i="11"/>
  <c r="N68" i="11" s="1"/>
  <c r="K95" i="12"/>
  <c r="J95" i="12"/>
  <c r="I95" i="13"/>
  <c r="O294" i="17"/>
  <c r="O239" i="17"/>
  <c r="O26" i="17"/>
  <c r="O254" i="17"/>
  <c r="O215" i="17"/>
  <c r="O284" i="17"/>
  <c r="O102" i="17"/>
  <c r="O266" i="17"/>
  <c r="O154" i="17"/>
  <c r="O189" i="17"/>
  <c r="O276" i="17"/>
  <c r="N71" i="16"/>
  <c r="N82" i="16"/>
  <c r="N84" i="16" s="1"/>
  <c r="N86" i="16" s="1"/>
  <c r="L73" i="16"/>
  <c r="L94" i="16" s="1"/>
  <c r="L93" i="16"/>
  <c r="L92" i="16"/>
  <c r="O294" i="16"/>
  <c r="O239" i="16"/>
  <c r="O254" i="16"/>
  <c r="O215" i="16"/>
  <c r="O284" i="16"/>
  <c r="O102" i="16"/>
  <c r="O26" i="16"/>
  <c r="O266" i="16"/>
  <c r="O154" i="16"/>
  <c r="O189" i="16"/>
  <c r="O276" i="16"/>
  <c r="M93" i="16"/>
  <c r="M92" i="16"/>
  <c r="M73" i="16"/>
  <c r="L94" i="15"/>
  <c r="K94" i="15"/>
  <c r="O65" i="15"/>
  <c r="O134" i="15" s="1"/>
  <c r="O250" i="15" s="1"/>
  <c r="O97" i="15"/>
  <c r="O67" i="15"/>
  <c r="O135" i="15" s="1"/>
  <c r="O251" i="15" s="1"/>
  <c r="O133" i="15"/>
  <c r="O249" i="15" s="1"/>
  <c r="K95" i="15"/>
  <c r="J95" i="15"/>
  <c r="M72" i="15"/>
  <c r="M73" i="15" s="1"/>
  <c r="M92" i="15"/>
  <c r="M93" i="15"/>
  <c r="O102" i="15"/>
  <c r="O294" i="15"/>
  <c r="O239" i="15"/>
  <c r="O26" i="15"/>
  <c r="O254" i="15"/>
  <c r="O154" i="15"/>
  <c r="O215" i="15"/>
  <c r="O284" i="15"/>
  <c r="O266" i="15"/>
  <c r="O189" i="15"/>
  <c r="O276" i="15"/>
  <c r="N66" i="15"/>
  <c r="N68" i="15" s="1"/>
  <c r="L168" i="13"/>
  <c r="L94" i="14"/>
  <c r="L155" i="14"/>
  <c r="K94" i="14"/>
  <c r="K155" i="14"/>
  <c r="M164" i="14"/>
  <c r="M117" i="14"/>
  <c r="M107" i="14"/>
  <c r="N271" i="14"/>
  <c r="M269" i="14"/>
  <c r="M157" i="14" s="1"/>
  <c r="M257" i="14"/>
  <c r="M156" i="14" s="1"/>
  <c r="M83" i="14" s="1"/>
  <c r="M97" i="14" s="1"/>
  <c r="M256" i="14"/>
  <c r="M173" i="14" s="1"/>
  <c r="M174" i="14" s="1"/>
  <c r="L109" i="14"/>
  <c r="L112" i="14" s="1"/>
  <c r="M82" i="14"/>
  <c r="M71" i="14"/>
  <c r="N106" i="14"/>
  <c r="N162" i="14" s="1"/>
  <c r="N119" i="14"/>
  <c r="N167" i="14" s="1"/>
  <c r="N249" i="14"/>
  <c r="N104" i="14"/>
  <c r="N160" i="14" s="1"/>
  <c r="N116" i="14"/>
  <c r="N166" i="14" s="1"/>
  <c r="N111" i="14"/>
  <c r="M163" i="14"/>
  <c r="O65" i="14"/>
  <c r="O134" i="14" s="1"/>
  <c r="O67" i="14"/>
  <c r="O135" i="14" s="1"/>
  <c r="O251" i="14" s="1"/>
  <c r="O133" i="14"/>
  <c r="O66" i="14"/>
  <c r="O68" i="14" s="1"/>
  <c r="M162" i="14"/>
  <c r="N250" i="14"/>
  <c r="N114" i="14"/>
  <c r="N105" i="14"/>
  <c r="N161" i="14" s="1"/>
  <c r="N115" i="14"/>
  <c r="N165" i="14" s="1"/>
  <c r="M161" i="14"/>
  <c r="L267" i="14"/>
  <c r="L270" i="14" s="1"/>
  <c r="K125" i="14"/>
  <c r="K148" i="14"/>
  <c r="K149" i="14" s="1"/>
  <c r="K112" i="14"/>
  <c r="L168" i="14"/>
  <c r="K168" i="14"/>
  <c r="L148" i="14"/>
  <c r="L149" i="14" s="1"/>
  <c r="M160" i="14"/>
  <c r="K155" i="13"/>
  <c r="K170" i="13" s="1"/>
  <c r="K184" i="13" s="1"/>
  <c r="K94" i="13"/>
  <c r="N249" i="13"/>
  <c r="O65" i="13"/>
  <c r="O134" i="13" s="1"/>
  <c r="O133" i="13"/>
  <c r="O97" i="13"/>
  <c r="O67" i="13"/>
  <c r="O135" i="13" s="1"/>
  <c r="O251" i="13" s="1"/>
  <c r="N250" i="13"/>
  <c r="L72" i="13"/>
  <c r="L73" i="13" s="1"/>
  <c r="L92" i="13"/>
  <c r="L93" i="13"/>
  <c r="M72" i="13"/>
  <c r="M73" i="13" s="1"/>
  <c r="M92" i="13"/>
  <c r="M93" i="13"/>
  <c r="K95" i="13"/>
  <c r="J95" i="13"/>
  <c r="K155" i="12"/>
  <c r="K170" i="12" s="1"/>
  <c r="K184" i="12" s="1"/>
  <c r="K94" i="12"/>
  <c r="L94" i="12"/>
  <c r="N107" i="12"/>
  <c r="M168" i="12"/>
  <c r="N82" i="12"/>
  <c r="N84" i="12" s="1"/>
  <c r="N86" i="12" s="1"/>
  <c r="N71" i="12"/>
  <c r="M112" i="12"/>
  <c r="M148" i="12"/>
  <c r="M149" i="12" s="1"/>
  <c r="N117" i="12"/>
  <c r="N164" i="12"/>
  <c r="N160" i="12"/>
  <c r="O161" i="12"/>
  <c r="N161" i="12"/>
  <c r="O82" i="12"/>
  <c r="O84" i="12" s="1"/>
  <c r="O86" i="12" s="1"/>
  <c r="O71" i="12"/>
  <c r="O116" i="12"/>
  <c r="O166" i="12" s="1"/>
  <c r="O106" i="12"/>
  <c r="O162" i="12" s="1"/>
  <c r="O249" i="12"/>
  <c r="O104" i="12"/>
  <c r="O250" i="12"/>
  <c r="O115" i="12"/>
  <c r="O165" i="12" s="1"/>
  <c r="O105" i="12"/>
  <c r="O114" i="12"/>
  <c r="M92" i="12"/>
  <c r="M93" i="12"/>
  <c r="M72" i="12"/>
  <c r="M73" i="12" s="1"/>
  <c r="K184" i="11"/>
  <c r="L164" i="11"/>
  <c r="L117" i="11"/>
  <c r="O104" i="11"/>
  <c r="O160" i="11" s="1"/>
  <c r="O116" i="11"/>
  <c r="O166" i="11" s="1"/>
  <c r="O249" i="11"/>
  <c r="O111" i="11"/>
  <c r="O106" i="11"/>
  <c r="O119" i="11"/>
  <c r="O167" i="11" s="1"/>
  <c r="N97" i="11"/>
  <c r="N174" i="11"/>
  <c r="L72" i="11"/>
  <c r="L73" i="11" s="1"/>
  <c r="L93" i="11"/>
  <c r="L92" i="11"/>
  <c r="N107" i="11"/>
  <c r="M71" i="11"/>
  <c r="M82" i="11"/>
  <c r="M84" i="11" s="1"/>
  <c r="M86" i="11" s="1"/>
  <c r="M115" i="11"/>
  <c r="M165" i="11" s="1"/>
  <c r="M114" i="11"/>
  <c r="N164" i="11" s="1"/>
  <c r="M105" i="11"/>
  <c r="M161" i="11" s="1"/>
  <c r="M250" i="11"/>
  <c r="N160" i="11"/>
  <c r="K112" i="11"/>
  <c r="O294" i="11"/>
  <c r="O215" i="11"/>
  <c r="O266" i="11"/>
  <c r="O102" i="11"/>
  <c r="O276" i="11"/>
  <c r="O154" i="11"/>
  <c r="O189" i="11"/>
  <c r="O239" i="11"/>
  <c r="O26" i="11"/>
  <c r="O284" i="11"/>
  <c r="O254" i="11"/>
  <c r="N165" i="11"/>
  <c r="N71" i="11"/>
  <c r="N82" i="11"/>
  <c r="O115" i="11"/>
  <c r="O114" i="11"/>
  <c r="O105" i="11"/>
  <c r="O161" i="11" s="1"/>
  <c r="O250" i="11"/>
  <c r="L107" i="11"/>
  <c r="L161" i="11"/>
  <c r="N162" i="11"/>
  <c r="N107" i="10"/>
  <c r="N257" i="10"/>
  <c r="N156" i="10" s="1"/>
  <c r="N83" i="10" s="1"/>
  <c r="N97" i="10" s="1"/>
  <c r="N256" i="10"/>
  <c r="N173" i="10" s="1"/>
  <c r="N174" i="10" s="1"/>
  <c r="L161" i="10"/>
  <c r="K161" i="10"/>
  <c r="K107" i="10"/>
  <c r="K164" i="10"/>
  <c r="K117" i="10"/>
  <c r="N164" i="10"/>
  <c r="N117" i="10"/>
  <c r="N73" i="10"/>
  <c r="N72" i="10"/>
  <c r="N163" i="10"/>
  <c r="K72" i="10"/>
  <c r="K73" i="10" s="1"/>
  <c r="M161" i="10"/>
  <c r="L107" i="10"/>
  <c r="K93" i="10"/>
  <c r="K92" i="10"/>
  <c r="L164" i="10"/>
  <c r="L117" i="10"/>
  <c r="N162" i="10"/>
  <c r="N271" i="10"/>
  <c r="M148" i="10"/>
  <c r="M149" i="10" s="1"/>
  <c r="L165" i="10"/>
  <c r="N160" i="10"/>
  <c r="O82" i="10"/>
  <c r="O71" i="10"/>
  <c r="O119" i="10"/>
  <c r="O167" i="10" s="1"/>
  <c r="O249" i="10"/>
  <c r="O104" i="10"/>
  <c r="O116" i="10"/>
  <c r="O166" i="10" s="1"/>
  <c r="O111" i="10"/>
  <c r="O163" i="10" s="1"/>
  <c r="O106" i="10"/>
  <c r="O162" i="10" s="1"/>
  <c r="O250" i="10"/>
  <c r="O114" i="10"/>
  <c r="O105" i="10"/>
  <c r="O161" i="10" s="1"/>
  <c r="O115" i="10"/>
  <c r="O165" i="10" s="1"/>
  <c r="L72" i="10"/>
  <c r="L73" i="10" s="1"/>
  <c r="M165" i="10"/>
  <c r="L109" i="10"/>
  <c r="M255" i="10"/>
  <c r="M258" i="10" s="1"/>
  <c r="O294" i="10"/>
  <c r="O254" i="10"/>
  <c r="O26" i="10"/>
  <c r="O215" i="10"/>
  <c r="O266" i="10"/>
  <c r="O154" i="10"/>
  <c r="O189" i="10"/>
  <c r="O102" i="10"/>
  <c r="O276" i="10"/>
  <c r="O284" i="10"/>
  <c r="O239" i="10"/>
  <c r="L93" i="10"/>
  <c r="L92" i="10"/>
  <c r="M82" i="10"/>
  <c r="M84" i="10" s="1"/>
  <c r="M86" i="10" s="1"/>
  <c r="M71" i="10"/>
  <c r="M164" i="10"/>
  <c r="O104" i="9"/>
  <c r="O116" i="9"/>
  <c r="O166" i="9" s="1"/>
  <c r="O249" i="9"/>
  <c r="O269" i="9" s="1"/>
  <c r="O157" i="9" s="1"/>
  <c r="O111" i="9"/>
  <c r="O163" i="9" s="1"/>
  <c r="O106" i="9"/>
  <c r="O119" i="9"/>
  <c r="O167" i="9" s="1"/>
  <c r="M134" i="9"/>
  <c r="M66" i="9"/>
  <c r="M68" i="9" s="1"/>
  <c r="O90" i="9"/>
  <c r="O65" i="9" s="1"/>
  <c r="N65" i="9"/>
  <c r="O162" i="9"/>
  <c r="L82" i="9"/>
  <c r="L84" i="9" s="1"/>
  <c r="L86" i="9" s="1"/>
  <c r="L71" i="9"/>
  <c r="L114" i="9"/>
  <c r="L105" i="9"/>
  <c r="L250" i="9"/>
  <c r="L115" i="9"/>
  <c r="L165" i="9" s="1"/>
  <c r="N257" i="9"/>
  <c r="N156" i="9" s="1"/>
  <c r="N83" i="9" s="1"/>
  <c r="N97" i="9" s="1"/>
  <c r="N256" i="9"/>
  <c r="N173" i="9" s="1"/>
  <c r="N174" i="9" s="1"/>
  <c r="K72" i="9"/>
  <c r="K73" i="9" s="1"/>
  <c r="K93" i="9"/>
  <c r="K92" i="9"/>
  <c r="O160" i="9"/>
  <c r="K161" i="9"/>
  <c r="K107" i="9"/>
  <c r="K117" i="9"/>
  <c r="K164" i="9"/>
  <c r="N163" i="9"/>
  <c r="L255" i="9"/>
  <c r="L258" i="9" s="1"/>
  <c r="K109" i="9"/>
  <c r="N162" i="9"/>
  <c r="K125" i="9"/>
  <c r="L267" i="9"/>
  <c r="L270" i="9" s="1"/>
  <c r="O294" i="9"/>
  <c r="O154" i="9"/>
  <c r="O254" i="9"/>
  <c r="O215" i="9"/>
  <c r="O266" i="9"/>
  <c r="O189" i="9"/>
  <c r="O26" i="9"/>
  <c r="O102" i="9"/>
  <c r="O239" i="9"/>
  <c r="O276" i="9"/>
  <c r="O284" i="9"/>
  <c r="K155" i="8"/>
  <c r="K170" i="8" s="1"/>
  <c r="K286" i="8"/>
  <c r="K94" i="8"/>
  <c r="L94" i="8"/>
  <c r="N164" i="8"/>
  <c r="N117" i="8"/>
  <c r="M92" i="8"/>
  <c r="M93" i="8"/>
  <c r="M72" i="8"/>
  <c r="M73" i="8" s="1"/>
  <c r="O250" i="8"/>
  <c r="O115" i="8"/>
  <c r="O165" i="8" s="1"/>
  <c r="O114" i="8"/>
  <c r="O105" i="8"/>
  <c r="O161" i="8" s="1"/>
  <c r="O111" i="8"/>
  <c r="O163" i="8" s="1"/>
  <c r="O106" i="8"/>
  <c r="O162" i="8" s="1"/>
  <c r="O119" i="8"/>
  <c r="O167" i="8" s="1"/>
  <c r="O249" i="8"/>
  <c r="O104" i="8"/>
  <c r="O116" i="8"/>
  <c r="O166" i="8" s="1"/>
  <c r="M148" i="8"/>
  <c r="M149" i="8" s="1"/>
  <c r="N82" i="8"/>
  <c r="N71" i="8"/>
  <c r="N161" i="8"/>
  <c r="N168" i="8" s="1"/>
  <c r="O160" i="8"/>
  <c r="N107" i="8"/>
  <c r="O189" i="8"/>
  <c r="O102" i="8"/>
  <c r="O294" i="8"/>
  <c r="O254" i="8"/>
  <c r="O154" i="8"/>
  <c r="O266" i="8"/>
  <c r="O26" i="8"/>
  <c r="O276" i="8"/>
  <c r="O284" i="8"/>
  <c r="O215" i="8"/>
  <c r="O239" i="8"/>
  <c r="L267" i="8"/>
  <c r="L270" i="8" s="1"/>
  <c r="K125" i="8"/>
  <c r="N257" i="8"/>
  <c r="N156" i="8" s="1"/>
  <c r="N83" i="8" s="1"/>
  <c r="N97" i="8" s="1"/>
  <c r="N256" i="8"/>
  <c r="N173" i="8" s="1"/>
  <c r="N174" i="8" s="1"/>
  <c r="N162" i="8"/>
  <c r="N271" i="8"/>
  <c r="M269" i="8"/>
  <c r="M157" i="8" s="1"/>
  <c r="L255" i="8"/>
  <c r="L258" i="8" s="1"/>
  <c r="K109" i="8"/>
  <c r="K112" i="8" s="1"/>
  <c r="L170" i="8"/>
  <c r="K155" i="7"/>
  <c r="K286" i="7"/>
  <c r="K94" i="7"/>
  <c r="N117" i="7"/>
  <c r="N164" i="7"/>
  <c r="N71" i="7"/>
  <c r="N82" i="7"/>
  <c r="N84" i="7" s="1"/>
  <c r="N86" i="7" s="1"/>
  <c r="M93" i="7"/>
  <c r="M92" i="7"/>
  <c r="M72" i="7"/>
  <c r="M73" i="7"/>
  <c r="N162" i="7"/>
  <c r="L255" i="7"/>
  <c r="L258" i="7" s="1"/>
  <c r="K109" i="7"/>
  <c r="O294" i="7"/>
  <c r="O254" i="7"/>
  <c r="O154" i="7"/>
  <c r="O266" i="7"/>
  <c r="O102" i="7"/>
  <c r="O26" i="7"/>
  <c r="O189" i="7"/>
  <c r="O276" i="7"/>
  <c r="O284" i="7"/>
  <c r="O215" i="7"/>
  <c r="O239" i="7"/>
  <c r="K95" i="7"/>
  <c r="J95" i="7"/>
  <c r="O250" i="7"/>
  <c r="O114" i="7"/>
  <c r="O115" i="7"/>
  <c r="O165" i="7" s="1"/>
  <c r="O105" i="7"/>
  <c r="O161" i="7" s="1"/>
  <c r="M168" i="7"/>
  <c r="O111" i="7"/>
  <c r="O163" i="7" s="1"/>
  <c r="O106" i="7"/>
  <c r="O162" i="7" s="1"/>
  <c r="O119" i="7"/>
  <c r="O167" i="7" s="1"/>
  <c r="O249" i="7"/>
  <c r="O104" i="7"/>
  <c r="O116" i="7"/>
  <c r="O166" i="7" s="1"/>
  <c r="O160" i="7"/>
  <c r="L267" i="7"/>
  <c r="L270" i="7" s="1"/>
  <c r="K125" i="7"/>
  <c r="N257" i="7"/>
  <c r="N156" i="7" s="1"/>
  <c r="N83" i="7" s="1"/>
  <c r="N97" i="7" s="1"/>
  <c r="N256" i="7"/>
  <c r="N173" i="7" s="1"/>
  <c r="N174" i="7" s="1"/>
  <c r="N271" i="7"/>
  <c r="M269" i="7"/>
  <c r="M157" i="7" s="1"/>
  <c r="L155" i="7"/>
  <c r="L170" i="7" s="1"/>
  <c r="L286" i="7"/>
  <c r="L287" i="7" s="1"/>
  <c r="L200" i="7" s="1"/>
  <c r="L181" i="7" s="1"/>
  <c r="L94" i="7"/>
  <c r="K93" i="7"/>
  <c r="K92" i="7"/>
  <c r="N161" i="7"/>
  <c r="K95" i="6"/>
  <c r="J95" i="6"/>
  <c r="N111" i="6"/>
  <c r="N116" i="6"/>
  <c r="N166" i="6" s="1"/>
  <c r="N106" i="6"/>
  <c r="N104" i="6"/>
  <c r="N160" i="6" s="1"/>
  <c r="N119" i="6"/>
  <c r="N167" i="6" s="1"/>
  <c r="N249" i="6"/>
  <c r="O65" i="6"/>
  <c r="O134" i="6" s="1"/>
  <c r="O67" i="6"/>
  <c r="O135" i="6" s="1"/>
  <c r="O251" i="6" s="1"/>
  <c r="O133" i="6"/>
  <c r="O294" i="6"/>
  <c r="O254" i="6"/>
  <c r="O154" i="6"/>
  <c r="O26" i="6"/>
  <c r="O189" i="6"/>
  <c r="O102" i="6"/>
  <c r="O266" i="6"/>
  <c r="O276" i="6"/>
  <c r="O284" i="6"/>
  <c r="O215" i="6"/>
  <c r="O239" i="6"/>
  <c r="N250" i="6"/>
  <c r="N115" i="6"/>
  <c r="N165" i="6" s="1"/>
  <c r="N114" i="6"/>
  <c r="N105" i="6"/>
  <c r="N161" i="6" s="1"/>
  <c r="L255" i="6"/>
  <c r="L258" i="6" s="1"/>
  <c r="K109" i="6"/>
  <c r="N68" i="6"/>
  <c r="M257" i="6"/>
  <c r="M156" i="6" s="1"/>
  <c r="M83" i="6" s="1"/>
  <c r="M97" i="6" s="1"/>
  <c r="M256" i="6"/>
  <c r="M173" i="6" s="1"/>
  <c r="M174" i="6" s="1"/>
  <c r="M164" i="6"/>
  <c r="M117" i="6"/>
  <c r="N271" i="6"/>
  <c r="M269" i="6"/>
  <c r="M157" i="6" s="1"/>
  <c r="N230" i="6"/>
  <c r="L267" i="6"/>
  <c r="L270" i="6" s="1"/>
  <c r="K125" i="6"/>
  <c r="M163" i="6"/>
  <c r="M55" i="30" l="1"/>
  <c r="N55" i="30"/>
  <c r="L192" i="30"/>
  <c r="L40" i="30" s="1"/>
  <c r="O82" i="27"/>
  <c r="O101" i="27" s="1"/>
  <c r="O46" i="30"/>
  <c r="O48" i="30" s="1"/>
  <c r="O89" i="30"/>
  <c r="O198" i="30"/>
  <c r="O200" i="30" s="1"/>
  <c r="O208" i="30" s="1"/>
  <c r="O196" i="30"/>
  <c r="N207" i="30"/>
  <c r="N209" i="30" s="1"/>
  <c r="M190" i="30"/>
  <c r="M168" i="18"/>
  <c r="O115" i="28"/>
  <c r="O177" i="28" s="1"/>
  <c r="N168" i="28"/>
  <c r="O114" i="28"/>
  <c r="O176" i="28" s="1"/>
  <c r="O66" i="28"/>
  <c r="O68" i="28" s="1"/>
  <c r="O82" i="28" s="1"/>
  <c r="O105" i="28"/>
  <c r="O173" i="28" s="1"/>
  <c r="M84" i="28"/>
  <c r="M86" i="28" s="1"/>
  <c r="N109" i="28"/>
  <c r="N186" i="28"/>
  <c r="O104" i="28"/>
  <c r="O172" i="28" s="1"/>
  <c r="O133" i="28"/>
  <c r="O168" i="28" s="1"/>
  <c r="N169" i="28"/>
  <c r="O116" i="28"/>
  <c r="O178" i="28" s="1"/>
  <c r="N117" i="28"/>
  <c r="O136" i="28"/>
  <c r="O169" i="28" s="1"/>
  <c r="O119" i="28"/>
  <c r="O179" i="28" s="1"/>
  <c r="O111" i="28"/>
  <c r="O175" i="28" s="1"/>
  <c r="O106" i="28"/>
  <c r="O174" i="28" s="1"/>
  <c r="M42" i="28"/>
  <c r="N84" i="28"/>
  <c r="N86" i="28" s="1"/>
  <c r="N180" i="28"/>
  <c r="N41" i="28" s="1"/>
  <c r="N34" i="28"/>
  <c r="N42" i="28"/>
  <c r="N273" i="28"/>
  <c r="N275" i="28" s="1"/>
  <c r="N283" i="28" s="1"/>
  <c r="N271" i="28"/>
  <c r="O240" i="28"/>
  <c r="N122" i="28"/>
  <c r="N50" i="28" s="1"/>
  <c r="L93" i="28"/>
  <c r="L92" i="28"/>
  <c r="L29" i="28"/>
  <c r="O140" i="28"/>
  <c r="M282" i="28"/>
  <c r="M284" i="28" s="1"/>
  <c r="L265" i="28"/>
  <c r="K30" i="28"/>
  <c r="O186" i="28"/>
  <c r="O33" i="28"/>
  <c r="M196" i="27"/>
  <c r="O30" i="27"/>
  <c r="O44" i="27" s="1"/>
  <c r="N45" i="27"/>
  <c r="N59" i="27" s="1"/>
  <c r="M54" i="27"/>
  <c r="O85" i="27"/>
  <c r="O102" i="27" s="1"/>
  <c r="O80" i="27"/>
  <c r="O109" i="27" s="1"/>
  <c r="O110" i="27" s="1"/>
  <c r="N194" i="27"/>
  <c r="N198" i="27" s="1"/>
  <c r="N200" i="27" s="1"/>
  <c r="N208" i="27" s="1"/>
  <c r="L190" i="27"/>
  <c r="L37" i="27" s="1"/>
  <c r="M209" i="27"/>
  <c r="N89" i="27"/>
  <c r="M29" i="26"/>
  <c r="M30" i="26" s="1"/>
  <c r="M38" i="26"/>
  <c r="O97" i="26"/>
  <c r="K92" i="26"/>
  <c r="M93" i="26"/>
  <c r="K29" i="26"/>
  <c r="K30" i="26" s="1"/>
  <c r="L38" i="26"/>
  <c r="L92" i="26"/>
  <c r="O117" i="26"/>
  <c r="L93" i="26"/>
  <c r="L109" i="25"/>
  <c r="O176" i="26"/>
  <c r="O180" i="26" s="1"/>
  <c r="O41" i="26" s="1"/>
  <c r="L125" i="25"/>
  <c r="L42" i="26"/>
  <c r="L34" i="26"/>
  <c r="L284" i="26"/>
  <c r="M282" i="26" s="1"/>
  <c r="O84" i="26"/>
  <c r="O86" i="26" s="1"/>
  <c r="N242" i="26"/>
  <c r="M273" i="26"/>
  <c r="M275" i="26" s="1"/>
  <c r="M283" i="26" s="1"/>
  <c r="M271" i="26"/>
  <c r="N93" i="26"/>
  <c r="N92" i="26"/>
  <c r="N29" i="26"/>
  <c r="N42" i="26"/>
  <c r="N34" i="26"/>
  <c r="O33" i="26"/>
  <c r="O186" i="26"/>
  <c r="K75" i="26"/>
  <c r="K267" i="26"/>
  <c r="K78" i="26" s="1"/>
  <c r="N38" i="26"/>
  <c r="L30" i="26"/>
  <c r="M270" i="25"/>
  <c r="M109" i="25" s="1"/>
  <c r="M282" i="25"/>
  <c r="M125" i="25" s="1"/>
  <c r="N117" i="25"/>
  <c r="O115" i="25"/>
  <c r="O177" i="25" s="1"/>
  <c r="O262" i="25"/>
  <c r="O105" i="25"/>
  <c r="O173" i="25" s="1"/>
  <c r="M314" i="25"/>
  <c r="M316" i="25" s="1"/>
  <c r="O66" i="25"/>
  <c r="O68" i="25" s="1"/>
  <c r="O82" i="25" s="1"/>
  <c r="N180" i="25"/>
  <c r="N41" i="25" s="1"/>
  <c r="M186" i="25"/>
  <c r="M38" i="25"/>
  <c r="N84" i="25"/>
  <c r="N86" i="25" s="1"/>
  <c r="M92" i="25"/>
  <c r="M29" i="25"/>
  <c r="M93" i="25"/>
  <c r="O176" i="25"/>
  <c r="N33" i="25"/>
  <c r="N186" i="25"/>
  <c r="N169" i="25"/>
  <c r="N314" i="25"/>
  <c r="L30" i="25"/>
  <c r="O281" i="25"/>
  <c r="O269" i="25"/>
  <c r="O168" i="25" s="1"/>
  <c r="O83" i="25" s="1"/>
  <c r="O97" i="25" s="1"/>
  <c r="O268" i="25"/>
  <c r="O185" i="25" s="1"/>
  <c r="K75" i="25"/>
  <c r="K312" i="25"/>
  <c r="K78" i="25" s="1"/>
  <c r="M34" i="25"/>
  <c r="M42" i="25"/>
  <c r="L329" i="25"/>
  <c r="N242" i="25"/>
  <c r="N165" i="24"/>
  <c r="M117" i="24"/>
  <c r="N161" i="24"/>
  <c r="N162" i="24"/>
  <c r="M256" i="24"/>
  <c r="M173" i="24" s="1"/>
  <c r="M174" i="24" s="1"/>
  <c r="N167" i="24"/>
  <c r="K125" i="24"/>
  <c r="M257" i="24"/>
  <c r="M156" i="24" s="1"/>
  <c r="M83" i="24" s="1"/>
  <c r="M97" i="24" s="1"/>
  <c r="N160" i="24"/>
  <c r="M168" i="24"/>
  <c r="M41" i="24" s="1"/>
  <c r="K109" i="24"/>
  <c r="K38" i="24"/>
  <c r="K86" i="24"/>
  <c r="K92" i="24" s="1"/>
  <c r="O66" i="24"/>
  <c r="O68" i="24" s="1"/>
  <c r="O82" i="24" s="1"/>
  <c r="L306" i="24"/>
  <c r="L308" i="24" s="1"/>
  <c r="L316" i="24" s="1"/>
  <c r="L304" i="24"/>
  <c r="L38" i="24"/>
  <c r="L86" i="24"/>
  <c r="L315" i="24"/>
  <c r="K298" i="24"/>
  <c r="M302" i="24"/>
  <c r="M157" i="24"/>
  <c r="L109" i="24"/>
  <c r="M255" i="24"/>
  <c r="O271" i="24"/>
  <c r="N269" i="24"/>
  <c r="O106" i="24"/>
  <c r="O162" i="24" s="1"/>
  <c r="O249" i="24"/>
  <c r="O119" i="24"/>
  <c r="O167" i="24" s="1"/>
  <c r="O116" i="24"/>
  <c r="O166" i="24" s="1"/>
  <c r="O111" i="24"/>
  <c r="O163" i="24" s="1"/>
  <c r="O104" i="24"/>
  <c r="O160" i="24" s="1"/>
  <c r="N82" i="24"/>
  <c r="K42" i="24"/>
  <c r="K34" i="24"/>
  <c r="N117" i="24"/>
  <c r="N164" i="24"/>
  <c r="N230" i="24"/>
  <c r="N232" i="24"/>
  <c r="N233" i="24" s="1"/>
  <c r="N256" i="24"/>
  <c r="N173" i="24" s="1"/>
  <c r="N257" i="24"/>
  <c r="N156" i="24" s="1"/>
  <c r="N83" i="24" s="1"/>
  <c r="N97" i="24" s="1"/>
  <c r="L34" i="24"/>
  <c r="L42" i="24"/>
  <c r="L125" i="24"/>
  <c r="M267" i="24"/>
  <c r="M270" i="24" s="1"/>
  <c r="O250" i="24"/>
  <c r="O114" i="24"/>
  <c r="O115" i="24"/>
  <c r="O165" i="24" s="1"/>
  <c r="O105" i="24"/>
  <c r="O161" i="24" s="1"/>
  <c r="N163" i="24"/>
  <c r="L217" i="22"/>
  <c r="L220" i="22" s="1"/>
  <c r="L47" i="22"/>
  <c r="L49" i="22" s="1"/>
  <c r="L229" i="22"/>
  <c r="L232" i="22" s="1"/>
  <c r="L88" i="22" s="1"/>
  <c r="N127" i="22"/>
  <c r="N124" i="22"/>
  <c r="M130" i="22"/>
  <c r="O78" i="22"/>
  <c r="O127" i="22" s="1"/>
  <c r="O68" i="22"/>
  <c r="O123" i="22" s="1"/>
  <c r="O212" i="22"/>
  <c r="O77" i="22"/>
  <c r="O126" i="22" s="1"/>
  <c r="M264" i="22"/>
  <c r="O69" i="22"/>
  <c r="O211" i="22"/>
  <c r="O79" i="22"/>
  <c r="O128" i="22" s="1"/>
  <c r="O74" i="22"/>
  <c r="O125" i="22" s="1"/>
  <c r="O67" i="22"/>
  <c r="O122" i="22" s="1"/>
  <c r="O82" i="22"/>
  <c r="O129" i="22" s="1"/>
  <c r="M136" i="22"/>
  <c r="O29" i="22"/>
  <c r="O31" i="22" s="1"/>
  <c r="N218" i="22"/>
  <c r="N135" i="22" s="1"/>
  <c r="N219" i="22"/>
  <c r="N119" i="22" s="1"/>
  <c r="N46" i="22" s="1"/>
  <c r="N60" i="22" s="1"/>
  <c r="N231" i="22"/>
  <c r="N80" i="22"/>
  <c r="L277" i="22"/>
  <c r="K260" i="22"/>
  <c r="O190" i="22"/>
  <c r="N85" i="22"/>
  <c r="K55" i="22"/>
  <c r="K56" i="22"/>
  <c r="L268" i="22"/>
  <c r="L270" i="22" s="1"/>
  <c r="L278" i="22" s="1"/>
  <c r="L266" i="22"/>
  <c r="M47" i="22"/>
  <c r="N84" i="19"/>
  <c r="O269" i="19"/>
  <c r="O157" i="19" s="1"/>
  <c r="M38" i="19"/>
  <c r="L93" i="6"/>
  <c r="O82" i="7"/>
  <c r="O71" i="7"/>
  <c r="K170" i="7"/>
  <c r="N168" i="7"/>
  <c r="O71" i="8"/>
  <c r="N71" i="14"/>
  <c r="O107" i="10"/>
  <c r="O71" i="11"/>
  <c r="O72" i="11" s="1"/>
  <c r="O73" i="11" s="1"/>
  <c r="O82" i="11"/>
  <c r="O163" i="11"/>
  <c r="O165" i="11"/>
  <c r="N71" i="13"/>
  <c r="O66" i="15"/>
  <c r="O68" i="15" s="1"/>
  <c r="O71" i="15" s="1"/>
  <c r="K38" i="20"/>
  <c r="N111" i="20"/>
  <c r="N163" i="20" s="1"/>
  <c r="N119" i="20"/>
  <c r="N167" i="20" s="1"/>
  <c r="N106" i="20"/>
  <c r="N162" i="20" s="1"/>
  <c r="O67" i="20"/>
  <c r="O135" i="20" s="1"/>
  <c r="O251" i="20" s="1"/>
  <c r="M117" i="20"/>
  <c r="O27" i="20"/>
  <c r="O28" i="20" s="1"/>
  <c r="N116" i="20"/>
  <c r="N166" i="20" s="1"/>
  <c r="N104" i="20"/>
  <c r="N160" i="20" s="1"/>
  <c r="N161" i="20"/>
  <c r="L86" i="20"/>
  <c r="L92" i="20" s="1"/>
  <c r="N68" i="20"/>
  <c r="N82" i="20" s="1"/>
  <c r="N115" i="20"/>
  <c r="N165" i="20" s="1"/>
  <c r="O133" i="20"/>
  <c r="O104" i="20" s="1"/>
  <c r="M84" i="20"/>
  <c r="M38" i="20" s="1"/>
  <c r="M168" i="20"/>
  <c r="M41" i="20" s="1"/>
  <c r="K86" i="20"/>
  <c r="K174" i="20"/>
  <c r="K33" i="20"/>
  <c r="K109" i="20"/>
  <c r="L255" i="20"/>
  <c r="L258" i="20" s="1"/>
  <c r="L267" i="20"/>
  <c r="L270" i="20" s="1"/>
  <c r="K125" i="20"/>
  <c r="K304" i="20"/>
  <c r="K306" i="20"/>
  <c r="K308" i="20" s="1"/>
  <c r="K316" i="20" s="1"/>
  <c r="K317" i="20" s="1"/>
  <c r="N230" i="20"/>
  <c r="N232" i="20"/>
  <c r="N233" i="20" s="1"/>
  <c r="L42" i="20"/>
  <c r="L34" i="20"/>
  <c r="O250" i="20"/>
  <c r="O114" i="20"/>
  <c r="O105" i="20"/>
  <c r="O161" i="20" s="1"/>
  <c r="N164" i="20"/>
  <c r="O66" i="20"/>
  <c r="N257" i="20"/>
  <c r="N156" i="20" s="1"/>
  <c r="N83" i="20" s="1"/>
  <c r="N97" i="20" s="1"/>
  <c r="N256" i="20"/>
  <c r="N173" i="20" s="1"/>
  <c r="M174" i="20"/>
  <c r="M33" i="20"/>
  <c r="M304" i="20"/>
  <c r="M306" i="20"/>
  <c r="M308" i="20" s="1"/>
  <c r="M316" i="20" s="1"/>
  <c r="N269" i="20"/>
  <c r="O302" i="19"/>
  <c r="N302" i="19"/>
  <c r="N157" i="19"/>
  <c r="O164" i="19"/>
  <c r="O168" i="19" s="1"/>
  <c r="O41" i="19" s="1"/>
  <c r="O117" i="19"/>
  <c r="M304" i="19"/>
  <c r="M306" i="19"/>
  <c r="M308" i="19" s="1"/>
  <c r="M316" i="19" s="1"/>
  <c r="L109" i="19"/>
  <c r="M255" i="19"/>
  <c r="M258" i="19" s="1"/>
  <c r="N230" i="19"/>
  <c r="N232" i="19"/>
  <c r="N233" i="19" s="1"/>
  <c r="M42" i="19"/>
  <c r="M34" i="19"/>
  <c r="N168" i="19"/>
  <c r="N41" i="19" s="1"/>
  <c r="L30" i="19"/>
  <c r="M86" i="19"/>
  <c r="O257" i="19"/>
  <c r="O156" i="19" s="1"/>
  <c r="O83" i="19" s="1"/>
  <c r="O97" i="19" s="1"/>
  <c r="O256" i="19"/>
  <c r="O173" i="19" s="1"/>
  <c r="L315" i="19"/>
  <c r="L317" i="19" s="1"/>
  <c r="K298" i="19"/>
  <c r="K42" i="19"/>
  <c r="K34" i="19"/>
  <c r="N174" i="19"/>
  <c r="N33" i="19"/>
  <c r="N86" i="19"/>
  <c r="M267" i="19"/>
  <c r="M270" i="19" s="1"/>
  <c r="L125" i="19"/>
  <c r="K93" i="19"/>
  <c r="K29" i="19"/>
  <c r="K92" i="19"/>
  <c r="O82" i="19"/>
  <c r="O84" i="19" s="1"/>
  <c r="N82" i="18"/>
  <c r="N157" i="18"/>
  <c r="N257" i="18"/>
  <c r="N156" i="18" s="1"/>
  <c r="N83" i="18" s="1"/>
  <c r="N97" i="18" s="1"/>
  <c r="N256" i="18"/>
  <c r="N173" i="18" s="1"/>
  <c r="N162" i="18"/>
  <c r="N164" i="18"/>
  <c r="N117" i="18"/>
  <c r="L86" i="18"/>
  <c r="M174" i="18"/>
  <c r="N267" i="18"/>
  <c r="N270" i="18" s="1"/>
  <c r="M125" i="18"/>
  <c r="O104" i="18"/>
  <c r="O160" i="18" s="1"/>
  <c r="O116" i="18"/>
  <c r="O166" i="18" s="1"/>
  <c r="O111" i="18"/>
  <c r="O163" i="18" s="1"/>
  <c r="O106" i="18"/>
  <c r="O162" i="18" s="1"/>
  <c r="O119" i="18"/>
  <c r="O167" i="18" s="1"/>
  <c r="O249" i="18"/>
  <c r="N230" i="18"/>
  <c r="N232" i="18"/>
  <c r="N233" i="18" s="1"/>
  <c r="O250" i="18"/>
  <c r="O115" i="18"/>
  <c r="O165" i="18" s="1"/>
  <c r="O114" i="18"/>
  <c r="O105" i="18"/>
  <c r="O161" i="18" s="1"/>
  <c r="M157" i="18"/>
  <c r="O66" i="18"/>
  <c r="O68" i="18" s="1"/>
  <c r="M84" i="18"/>
  <c r="K93" i="18"/>
  <c r="K92" i="18"/>
  <c r="L109" i="18"/>
  <c r="M255" i="18"/>
  <c r="M258" i="18" s="1"/>
  <c r="N161" i="18"/>
  <c r="O66" i="6"/>
  <c r="O68" i="6" s="1"/>
  <c r="M168" i="6"/>
  <c r="L92" i="14"/>
  <c r="M168" i="10"/>
  <c r="N84" i="10"/>
  <c r="N86" i="10" s="1"/>
  <c r="N93" i="10" s="1"/>
  <c r="L168" i="11"/>
  <c r="O66" i="13"/>
  <c r="O68" i="13" s="1"/>
  <c r="O82" i="13" s="1"/>
  <c r="O84" i="13" s="1"/>
  <c r="O86" i="13" s="1"/>
  <c r="O71" i="16"/>
  <c r="O82" i="16"/>
  <c r="O84" i="16" s="1"/>
  <c r="O86" i="16" s="1"/>
  <c r="M94" i="16"/>
  <c r="N93" i="16"/>
  <c r="N92" i="16"/>
  <c r="N73" i="16"/>
  <c r="N94" i="16" s="1"/>
  <c r="M94" i="15"/>
  <c r="N82" i="15"/>
  <c r="N84" i="15" s="1"/>
  <c r="N86" i="15" s="1"/>
  <c r="N71" i="15"/>
  <c r="O82" i="14"/>
  <c r="O71" i="14"/>
  <c r="O119" i="14"/>
  <c r="O167" i="14" s="1"/>
  <c r="O106" i="14"/>
  <c r="O162" i="14" s="1"/>
  <c r="O249" i="14"/>
  <c r="O104" i="14"/>
  <c r="O116" i="14"/>
  <c r="O166" i="14" s="1"/>
  <c r="O111" i="14"/>
  <c r="O163" i="14" s="1"/>
  <c r="O271" i="14"/>
  <c r="O269" i="14" s="1"/>
  <c r="O157" i="14" s="1"/>
  <c r="N269" i="14"/>
  <c r="N157" i="14" s="1"/>
  <c r="O250" i="14"/>
  <c r="O114" i="14"/>
  <c r="O105" i="14"/>
  <c r="O161" i="14" s="1"/>
  <c r="O115" i="14"/>
  <c r="O165" i="14" s="1"/>
  <c r="M148" i="14"/>
  <c r="M149" i="14" s="1"/>
  <c r="M168" i="14"/>
  <c r="N107" i="14"/>
  <c r="N257" i="14"/>
  <c r="N156" i="14" s="1"/>
  <c r="N83" i="14" s="1"/>
  <c r="N97" i="14" s="1"/>
  <c r="N256" i="14"/>
  <c r="N173" i="14" s="1"/>
  <c r="N174" i="14" s="1"/>
  <c r="N163" i="14"/>
  <c r="M72" i="14"/>
  <c r="M73" i="14" s="1"/>
  <c r="K170" i="14"/>
  <c r="K184" i="14" s="1"/>
  <c r="M267" i="14"/>
  <c r="M270" i="14" s="1"/>
  <c r="L125" i="14"/>
  <c r="M84" i="14"/>
  <c r="M86" i="14" s="1"/>
  <c r="N72" i="14"/>
  <c r="N73" i="14" s="1"/>
  <c r="M258" i="14"/>
  <c r="L170" i="14"/>
  <c r="L184" i="14" s="1"/>
  <c r="N164" i="14"/>
  <c r="N117" i="14"/>
  <c r="M94" i="13"/>
  <c r="M155" i="13"/>
  <c r="L155" i="13"/>
  <c r="L170" i="13" s="1"/>
  <c r="L184" i="13" s="1"/>
  <c r="L94" i="13"/>
  <c r="O71" i="13"/>
  <c r="O249" i="13"/>
  <c r="M168" i="13"/>
  <c r="O250" i="13"/>
  <c r="N72" i="13"/>
  <c r="N73" i="13" s="1"/>
  <c r="N92" i="13"/>
  <c r="N93" i="13"/>
  <c r="O92" i="12"/>
  <c r="O93" i="12"/>
  <c r="N168" i="12"/>
  <c r="M155" i="12"/>
  <c r="M170" i="12" s="1"/>
  <c r="M184" i="12" s="1"/>
  <c r="M94" i="12"/>
  <c r="O117" i="12"/>
  <c r="O164" i="12"/>
  <c r="N72" i="12"/>
  <c r="N73" i="12" s="1"/>
  <c r="N92" i="12"/>
  <c r="N93" i="12"/>
  <c r="N112" i="12"/>
  <c r="N148" i="12"/>
  <c r="N149" i="12" s="1"/>
  <c r="O107" i="12"/>
  <c r="O160" i="12"/>
  <c r="O168" i="12" s="1"/>
  <c r="O72" i="12"/>
  <c r="O73" i="12" s="1"/>
  <c r="M168" i="11"/>
  <c r="K128" i="11"/>
  <c r="K130" i="11" s="1"/>
  <c r="L148" i="11"/>
  <c r="L149" i="11" s="1"/>
  <c r="L155" i="11"/>
  <c r="L94" i="11"/>
  <c r="O164" i="11"/>
  <c r="O168" i="11" s="1"/>
  <c r="O117" i="11"/>
  <c r="L112" i="11"/>
  <c r="O84" i="11"/>
  <c r="O86" i="11" s="1"/>
  <c r="N84" i="11"/>
  <c r="N86" i="11" s="1"/>
  <c r="N72" i="11"/>
  <c r="N73" i="11" s="1"/>
  <c r="N161" i="11"/>
  <c r="N168" i="11" s="1"/>
  <c r="M107" i="11"/>
  <c r="M164" i="11"/>
  <c r="M117" i="11"/>
  <c r="M93" i="11"/>
  <c r="M92" i="11"/>
  <c r="O97" i="11"/>
  <c r="O174" i="11"/>
  <c r="M72" i="11"/>
  <c r="M73" i="11" s="1"/>
  <c r="O107" i="11"/>
  <c r="N148" i="11"/>
  <c r="N149" i="11" s="1"/>
  <c r="K94" i="10"/>
  <c r="K155" i="10"/>
  <c r="O257" i="10"/>
  <c r="O156" i="10" s="1"/>
  <c r="O83" i="10" s="1"/>
  <c r="O97" i="10" s="1"/>
  <c r="O256" i="10"/>
  <c r="O173" i="10" s="1"/>
  <c r="O174" i="10" s="1"/>
  <c r="O72" i="10"/>
  <c r="O73" i="10" s="1"/>
  <c r="N155" i="10"/>
  <c r="N168" i="10"/>
  <c r="M109" i="10"/>
  <c r="M112" i="10" s="1"/>
  <c r="N255" i="10"/>
  <c r="N258" i="10" s="1"/>
  <c r="O271" i="10"/>
  <c r="M72" i="10"/>
  <c r="M73" i="10" s="1"/>
  <c r="L94" i="10"/>
  <c r="L155" i="10"/>
  <c r="K148" i="10"/>
  <c r="K149" i="10" s="1"/>
  <c r="K112" i="10"/>
  <c r="M92" i="10"/>
  <c r="M93" i="10"/>
  <c r="K168" i="10"/>
  <c r="L168" i="10"/>
  <c r="O164" i="10"/>
  <c r="O117" i="10"/>
  <c r="L148" i="10"/>
  <c r="L149" i="10" s="1"/>
  <c r="L112" i="10"/>
  <c r="N148" i="10"/>
  <c r="N149" i="10" s="1"/>
  <c r="O160" i="10"/>
  <c r="L125" i="9"/>
  <c r="M267" i="9"/>
  <c r="M270" i="9" s="1"/>
  <c r="L107" i="9"/>
  <c r="M255" i="9"/>
  <c r="M258" i="9" s="1"/>
  <c r="L109" i="9"/>
  <c r="L117" i="9"/>
  <c r="L164" i="9"/>
  <c r="L72" i="9"/>
  <c r="L73" i="9" s="1"/>
  <c r="L93" i="9"/>
  <c r="L92" i="9"/>
  <c r="K112" i="9"/>
  <c r="K148" i="9"/>
  <c r="K149" i="9" s="1"/>
  <c r="K168" i="9"/>
  <c r="N134" i="9"/>
  <c r="N66" i="9"/>
  <c r="N68" i="9" s="1"/>
  <c r="L161" i="9"/>
  <c r="L168" i="9" s="1"/>
  <c r="O134" i="9"/>
  <c r="O66" i="9"/>
  <c r="O68" i="9" s="1"/>
  <c r="M82" i="9"/>
  <c r="M84" i="9" s="1"/>
  <c r="M86" i="9" s="1"/>
  <c r="M71" i="9"/>
  <c r="M114" i="9"/>
  <c r="M105" i="9"/>
  <c r="M250" i="9"/>
  <c r="M115" i="9"/>
  <c r="M165" i="9" s="1"/>
  <c r="O257" i="9"/>
  <c r="O156" i="9" s="1"/>
  <c r="O83" i="9" s="1"/>
  <c r="O97" i="9" s="1"/>
  <c r="O256" i="9"/>
  <c r="O173" i="9" s="1"/>
  <c r="O174" i="9" s="1"/>
  <c r="K94" i="9"/>
  <c r="K286" i="9"/>
  <c r="K155" i="9"/>
  <c r="M155" i="8"/>
  <c r="M170" i="8" s="1"/>
  <c r="M286" i="8"/>
  <c r="M287" i="8" s="1"/>
  <c r="M94" i="8"/>
  <c r="O117" i="8"/>
  <c r="O164" i="8"/>
  <c r="O168" i="8" s="1"/>
  <c r="L195" i="8"/>
  <c r="L197" i="8" s="1"/>
  <c r="L201" i="8" s="1"/>
  <c r="L205" i="8" s="1"/>
  <c r="L206" i="8" s="1"/>
  <c r="M255" i="8"/>
  <c r="M258" i="8" s="1"/>
  <c r="L109" i="8"/>
  <c r="L112" i="8" s="1"/>
  <c r="O72" i="8"/>
  <c r="O73" i="8" s="1"/>
  <c r="N148" i="8"/>
  <c r="N149" i="8" s="1"/>
  <c r="O271" i="8"/>
  <c r="O269" i="8" s="1"/>
  <c r="O157" i="8" s="1"/>
  <c r="N269" i="8"/>
  <c r="N157" i="8" s="1"/>
  <c r="N72" i="8"/>
  <c r="N73" i="8" s="1"/>
  <c r="N84" i="8"/>
  <c r="N86" i="8" s="1"/>
  <c r="M267" i="8"/>
  <c r="M270" i="8" s="1"/>
  <c r="L125" i="8"/>
  <c r="O107" i="8"/>
  <c r="O257" i="8"/>
  <c r="O156" i="8" s="1"/>
  <c r="O83" i="8" s="1"/>
  <c r="O97" i="8" s="1"/>
  <c r="O256" i="8"/>
  <c r="O173" i="8" s="1"/>
  <c r="O174" i="8" s="1"/>
  <c r="K287" i="8"/>
  <c r="K200" i="8" s="1"/>
  <c r="K288" i="8"/>
  <c r="K195" i="8"/>
  <c r="K197" i="8" s="1"/>
  <c r="K287" i="7"/>
  <c r="K200" i="7" s="1"/>
  <c r="K181" i="7" s="1"/>
  <c r="O257" i="7"/>
  <c r="O156" i="7" s="1"/>
  <c r="O83" i="7" s="1"/>
  <c r="O97" i="7" s="1"/>
  <c r="O256" i="7"/>
  <c r="O173" i="7" s="1"/>
  <c r="O174" i="7" s="1"/>
  <c r="M255" i="7"/>
  <c r="M258" i="7" s="1"/>
  <c r="L109" i="7"/>
  <c r="M267" i="7"/>
  <c r="M270" i="7" s="1"/>
  <c r="L125" i="7"/>
  <c r="M155" i="7"/>
  <c r="M170" i="7" s="1"/>
  <c r="M286" i="7"/>
  <c r="M287" i="7" s="1"/>
  <c r="M200" i="7" s="1"/>
  <c r="M181" i="7" s="1"/>
  <c r="M94" i="7"/>
  <c r="O117" i="7"/>
  <c r="O164" i="7"/>
  <c r="O168" i="7" s="1"/>
  <c r="O271" i="7"/>
  <c r="O269" i="7" s="1"/>
  <c r="O157" i="7" s="1"/>
  <c r="N269" i="7"/>
  <c r="N157" i="7" s="1"/>
  <c r="N92" i="7"/>
  <c r="N93" i="7"/>
  <c r="O72" i="7"/>
  <c r="O73" i="7" s="1"/>
  <c r="N72" i="7"/>
  <c r="N73" i="7" s="1"/>
  <c r="L195" i="7"/>
  <c r="L197" i="7" s="1"/>
  <c r="L201" i="7" s="1"/>
  <c r="L205" i="7" s="1"/>
  <c r="K195" i="7"/>
  <c r="K197" i="7" s="1"/>
  <c r="O82" i="6"/>
  <c r="O111" i="6"/>
  <c r="O163" i="6" s="1"/>
  <c r="O106" i="6"/>
  <c r="O119" i="6"/>
  <c r="O167" i="6" s="1"/>
  <c r="O249" i="6"/>
  <c r="O104" i="6"/>
  <c r="O160" i="6" s="1"/>
  <c r="O116" i="6"/>
  <c r="O166" i="6" s="1"/>
  <c r="N82" i="6"/>
  <c r="O250" i="6"/>
  <c r="O115" i="6"/>
  <c r="O165" i="6" s="1"/>
  <c r="O114" i="6"/>
  <c r="O105" i="6"/>
  <c r="M255" i="6"/>
  <c r="M258" i="6" s="1"/>
  <c r="L109" i="6"/>
  <c r="O161" i="6"/>
  <c r="N257" i="6"/>
  <c r="N156" i="6" s="1"/>
  <c r="N83" i="6" s="1"/>
  <c r="N97" i="6" s="1"/>
  <c r="N256" i="6"/>
  <c r="N173" i="6" s="1"/>
  <c r="N174" i="6" s="1"/>
  <c r="N117" i="6"/>
  <c r="N164" i="6"/>
  <c r="M267" i="6"/>
  <c r="M270" i="6" s="1"/>
  <c r="L125" i="6"/>
  <c r="O162" i="6"/>
  <c r="O228" i="6"/>
  <c r="N122" i="6"/>
  <c r="O271" i="6"/>
  <c r="O269" i="6" s="1"/>
  <c r="O157" i="6" s="1"/>
  <c r="N269" i="6"/>
  <c r="N157" i="6" s="1"/>
  <c r="N163" i="6"/>
  <c r="N162" i="6"/>
  <c r="M84" i="6"/>
  <c r="M86" i="6" s="1"/>
  <c r="O45" i="27" l="1"/>
  <c r="O59" i="27" s="1"/>
  <c r="M37" i="30"/>
  <c r="M192" i="30"/>
  <c r="M40" i="30" s="1"/>
  <c r="O207" i="30"/>
  <c r="O209" i="30" s="1"/>
  <c r="O190" i="30" s="1"/>
  <c r="N190" i="30"/>
  <c r="O55" i="30"/>
  <c r="O54" i="30"/>
  <c r="M38" i="28"/>
  <c r="O269" i="28"/>
  <c r="O271" i="28" s="1"/>
  <c r="O117" i="28"/>
  <c r="O109" i="28"/>
  <c r="O83" i="28"/>
  <c r="O97" i="28" s="1"/>
  <c r="O180" i="28"/>
  <c r="O41" i="28" s="1"/>
  <c r="N38" i="28"/>
  <c r="L30" i="28"/>
  <c r="O242" i="28"/>
  <c r="O122" i="28" s="1"/>
  <c r="O50" i="28" s="1"/>
  <c r="O244" i="28"/>
  <c r="O245" i="28" s="1"/>
  <c r="L267" i="28"/>
  <c r="L78" i="28" s="1"/>
  <c r="L75" i="28"/>
  <c r="O34" i="28"/>
  <c r="O42" i="28"/>
  <c r="M265" i="28"/>
  <c r="N282" i="28"/>
  <c r="N284" i="28" s="1"/>
  <c r="N93" i="28"/>
  <c r="N92" i="28"/>
  <c r="N29" i="28"/>
  <c r="M93" i="28"/>
  <c r="M92" i="28"/>
  <c r="M29" i="28"/>
  <c r="N46" i="27"/>
  <c r="N48" i="27" s="1"/>
  <c r="N55" i="27" s="1"/>
  <c r="O194" i="27"/>
  <c r="O198" i="27" s="1"/>
  <c r="O200" i="27" s="1"/>
  <c r="O208" i="27" s="1"/>
  <c r="L192" i="27"/>
  <c r="L40" i="27" s="1"/>
  <c r="N196" i="27"/>
  <c r="O89" i="27"/>
  <c r="M190" i="27"/>
  <c r="N207" i="27"/>
  <c r="N209" i="27" s="1"/>
  <c r="L265" i="26"/>
  <c r="L75" i="26" s="1"/>
  <c r="O38" i="26"/>
  <c r="M284" i="26"/>
  <c r="M265" i="26" s="1"/>
  <c r="M318" i="25"/>
  <c r="M320" i="25" s="1"/>
  <c r="M328" i="25" s="1"/>
  <c r="N279" i="25"/>
  <c r="N282" i="25" s="1"/>
  <c r="O279" i="25" s="1"/>
  <c r="O282" i="25" s="1"/>
  <c r="O125" i="25" s="1"/>
  <c r="O42" i="26"/>
  <c r="O34" i="26"/>
  <c r="O180" i="25"/>
  <c r="O41" i="25" s="1"/>
  <c r="N273" i="26"/>
  <c r="N275" i="26" s="1"/>
  <c r="N283" i="26" s="1"/>
  <c r="N271" i="26"/>
  <c r="O117" i="25"/>
  <c r="N30" i="26"/>
  <c r="O273" i="26"/>
  <c r="O275" i="26" s="1"/>
  <c r="O283" i="26" s="1"/>
  <c r="O271" i="26"/>
  <c r="N267" i="25"/>
  <c r="N270" i="25" s="1"/>
  <c r="N109" i="25" s="1"/>
  <c r="O93" i="26"/>
  <c r="O92" i="26"/>
  <c r="O29" i="26"/>
  <c r="N122" i="26"/>
  <c r="N50" i="26" s="1"/>
  <c r="O240" i="26"/>
  <c r="N244" i="26"/>
  <c r="N245" i="26" s="1"/>
  <c r="N38" i="25"/>
  <c r="O84" i="25"/>
  <c r="O86" i="25" s="1"/>
  <c r="N318" i="25"/>
  <c r="N320" i="25" s="1"/>
  <c r="N328" i="25" s="1"/>
  <c r="N316" i="25"/>
  <c r="N122" i="25"/>
  <c r="N50" i="25" s="1"/>
  <c r="O240" i="25"/>
  <c r="N42" i="25"/>
  <c r="N34" i="25"/>
  <c r="N244" i="25"/>
  <c r="N245" i="25" s="1"/>
  <c r="M327" i="25"/>
  <c r="L310" i="25"/>
  <c r="O33" i="25"/>
  <c r="O186" i="25"/>
  <c r="M30" i="25"/>
  <c r="O169" i="25"/>
  <c r="O314" i="25"/>
  <c r="N29" i="25"/>
  <c r="N92" i="25"/>
  <c r="N93" i="25"/>
  <c r="M258" i="24"/>
  <c r="N255" i="24" s="1"/>
  <c r="N258" i="24" s="1"/>
  <c r="M33" i="24"/>
  <c r="M34" i="24" s="1"/>
  <c r="M84" i="24"/>
  <c r="M86" i="24" s="1"/>
  <c r="M93" i="24" s="1"/>
  <c r="K93" i="24"/>
  <c r="K29" i="24"/>
  <c r="K30" i="24" s="1"/>
  <c r="O269" i="24"/>
  <c r="O157" i="24" s="1"/>
  <c r="L72" i="22"/>
  <c r="M217" i="22"/>
  <c r="M220" i="22" s="1"/>
  <c r="N217" i="22" s="1"/>
  <c r="N220" i="22" s="1"/>
  <c r="N168" i="24"/>
  <c r="N41" i="24" s="1"/>
  <c r="K300" i="24"/>
  <c r="K78" i="24" s="1"/>
  <c r="K75" i="24"/>
  <c r="O164" i="24"/>
  <c r="O168" i="24" s="1"/>
  <c r="O41" i="24" s="1"/>
  <c r="O117" i="24"/>
  <c r="L317" i="24"/>
  <c r="M304" i="24"/>
  <c r="M306" i="24"/>
  <c r="M308" i="24" s="1"/>
  <c r="M316" i="24" s="1"/>
  <c r="M125" i="24"/>
  <c r="N267" i="24"/>
  <c r="N270" i="24" s="1"/>
  <c r="O256" i="24"/>
  <c r="O173" i="24" s="1"/>
  <c r="O257" i="24"/>
  <c r="O156" i="24" s="1"/>
  <c r="O83" i="24" s="1"/>
  <c r="O97" i="24" s="1"/>
  <c r="L93" i="24"/>
  <c r="L29" i="24"/>
  <c r="L92" i="24"/>
  <c r="N174" i="24"/>
  <c r="N33" i="24"/>
  <c r="N122" i="24"/>
  <c r="N50" i="24" s="1"/>
  <c r="O228" i="24"/>
  <c r="N84" i="24"/>
  <c r="N302" i="24"/>
  <c r="N157" i="24"/>
  <c r="L55" i="22"/>
  <c r="L56" i="22"/>
  <c r="M229" i="22"/>
  <c r="M232" i="22" s="1"/>
  <c r="M88" i="22" s="1"/>
  <c r="O124" i="22"/>
  <c r="O130" i="22" s="1"/>
  <c r="N130" i="22"/>
  <c r="L279" i="22"/>
  <c r="L260" i="22" s="1"/>
  <c r="K262" i="22"/>
  <c r="K41" i="22" s="1"/>
  <c r="K38" i="22"/>
  <c r="O192" i="22"/>
  <c r="O85" i="22" s="1"/>
  <c r="M268" i="22"/>
  <c r="M270" i="22" s="1"/>
  <c r="M278" i="22" s="1"/>
  <c r="M266" i="22"/>
  <c r="N136" i="22"/>
  <c r="O218" i="22"/>
  <c r="O135" i="22" s="1"/>
  <c r="O219" i="22"/>
  <c r="O119" i="22" s="1"/>
  <c r="O46" i="22" s="1"/>
  <c r="O60" i="22" s="1"/>
  <c r="O231" i="22"/>
  <c r="M49" i="22"/>
  <c r="O45" i="22"/>
  <c r="N264" i="22"/>
  <c r="O80" i="22"/>
  <c r="N47" i="22"/>
  <c r="O38" i="19"/>
  <c r="N38" i="19"/>
  <c r="N168" i="18"/>
  <c r="N168" i="6"/>
  <c r="K288" i="7"/>
  <c r="L285" i="8"/>
  <c r="L288" i="8" s="1"/>
  <c r="K127" i="8"/>
  <c r="M200" i="8"/>
  <c r="M181" i="8" s="1"/>
  <c r="N168" i="14"/>
  <c r="N92" i="10"/>
  <c r="N170" i="10"/>
  <c r="N184" i="10" s="1"/>
  <c r="O84" i="10"/>
  <c r="O86" i="10" s="1"/>
  <c r="O93" i="10" s="1"/>
  <c r="L170" i="11"/>
  <c r="L184" i="11" s="1"/>
  <c r="O82" i="15"/>
  <c r="O84" i="15" s="1"/>
  <c r="O86" i="15" s="1"/>
  <c r="O92" i="15" s="1"/>
  <c r="L93" i="20"/>
  <c r="L29" i="20"/>
  <c r="L30" i="20" s="1"/>
  <c r="O68" i="20"/>
  <c r="O82" i="20" s="1"/>
  <c r="O115" i="20"/>
  <c r="O165" i="20" s="1"/>
  <c r="N117" i="20"/>
  <c r="O160" i="20"/>
  <c r="O249" i="20"/>
  <c r="O269" i="20" s="1"/>
  <c r="O302" i="20" s="1"/>
  <c r="O119" i="20"/>
  <c r="O167" i="20" s="1"/>
  <c r="O116" i="20"/>
  <c r="O166" i="20" s="1"/>
  <c r="O106" i="20"/>
  <c r="O162" i="20" s="1"/>
  <c r="O111" i="20"/>
  <c r="O163" i="20" s="1"/>
  <c r="M86" i="20"/>
  <c r="M92" i="20" s="1"/>
  <c r="N168" i="20"/>
  <c r="N41" i="20" s="1"/>
  <c r="L315" i="20"/>
  <c r="L317" i="20" s="1"/>
  <c r="L298" i="20" s="1"/>
  <c r="K298" i="20"/>
  <c r="M267" i="20"/>
  <c r="M270" i="20" s="1"/>
  <c r="L125" i="20"/>
  <c r="M255" i="20"/>
  <c r="M258" i="20" s="1"/>
  <c r="L109" i="20"/>
  <c r="K42" i="20"/>
  <c r="K34" i="20"/>
  <c r="K93" i="20"/>
  <c r="K92" i="20"/>
  <c r="K29" i="20"/>
  <c r="K30" i="20" s="1"/>
  <c r="M42" i="20"/>
  <c r="M34" i="20"/>
  <c r="O164" i="20"/>
  <c r="N302" i="20"/>
  <c r="N157" i="20"/>
  <c r="N174" i="20"/>
  <c r="N33" i="20"/>
  <c r="N84" i="20"/>
  <c r="N122" i="20"/>
  <c r="N50" i="20" s="1"/>
  <c r="O228" i="20"/>
  <c r="O86" i="19"/>
  <c r="M93" i="19"/>
  <c r="M92" i="19"/>
  <c r="M29" i="19"/>
  <c r="K30" i="19"/>
  <c r="N267" i="19"/>
  <c r="N270" i="19" s="1"/>
  <c r="M125" i="19"/>
  <c r="N122" i="19"/>
  <c r="N50" i="19" s="1"/>
  <c r="O228" i="19"/>
  <c r="N255" i="19"/>
  <c r="N258" i="19" s="1"/>
  <c r="M109" i="19"/>
  <c r="N93" i="19"/>
  <c r="N92" i="19"/>
  <c r="N29" i="19"/>
  <c r="N34" i="19"/>
  <c r="N42" i="19"/>
  <c r="K300" i="19"/>
  <c r="K78" i="19" s="1"/>
  <c r="K75" i="19"/>
  <c r="N304" i="19"/>
  <c r="N306" i="19"/>
  <c r="N308" i="19" s="1"/>
  <c r="N316" i="19" s="1"/>
  <c r="M315" i="19"/>
  <c r="M317" i="19" s="1"/>
  <c r="L298" i="19"/>
  <c r="O174" i="19"/>
  <c r="O33" i="19"/>
  <c r="O304" i="19"/>
  <c r="O306" i="19"/>
  <c r="O308" i="19" s="1"/>
  <c r="O316" i="19" s="1"/>
  <c r="N122" i="18"/>
  <c r="O228" i="18"/>
  <c r="O164" i="18"/>
  <c r="O168" i="18" s="1"/>
  <c r="O117" i="18"/>
  <c r="O257" i="18"/>
  <c r="O156" i="18" s="1"/>
  <c r="O83" i="18" s="1"/>
  <c r="O97" i="18" s="1"/>
  <c r="O256" i="18"/>
  <c r="O173" i="18" s="1"/>
  <c r="N255" i="18"/>
  <c r="N258" i="18" s="1"/>
  <c r="M109" i="18"/>
  <c r="N174" i="18"/>
  <c r="O267" i="18"/>
  <c r="N125" i="18"/>
  <c r="M86" i="18"/>
  <c r="O82" i="18"/>
  <c r="L93" i="18"/>
  <c r="L92" i="18"/>
  <c r="N84" i="18"/>
  <c r="O269" i="18"/>
  <c r="O84" i="7"/>
  <c r="O86" i="7" s="1"/>
  <c r="O84" i="8"/>
  <c r="O86" i="8" s="1"/>
  <c r="O93" i="8" s="1"/>
  <c r="K170" i="9"/>
  <c r="N84" i="14"/>
  <c r="N86" i="14" s="1"/>
  <c r="N93" i="14" s="1"/>
  <c r="O93" i="16"/>
  <c r="O92" i="16"/>
  <c r="O73" i="16"/>
  <c r="O94" i="16" s="1"/>
  <c r="N72" i="15"/>
  <c r="N73" i="15" s="1"/>
  <c r="N92" i="15"/>
  <c r="N93" i="15"/>
  <c r="O72" i="15"/>
  <c r="O73" i="15" s="1"/>
  <c r="N94" i="14"/>
  <c r="N155" i="14"/>
  <c r="M94" i="14"/>
  <c r="M155" i="14"/>
  <c r="M170" i="14" s="1"/>
  <c r="M184" i="14" s="1"/>
  <c r="M93" i="14"/>
  <c r="M92" i="14"/>
  <c r="L128" i="14"/>
  <c r="L130" i="14" s="1"/>
  <c r="O164" i="14"/>
  <c r="O117" i="14"/>
  <c r="N267" i="14"/>
  <c r="N270" i="14" s="1"/>
  <c r="M125" i="14"/>
  <c r="M128" i="14" s="1"/>
  <c r="O107" i="14"/>
  <c r="O257" i="14"/>
  <c r="O156" i="14" s="1"/>
  <c r="O83" i="14" s="1"/>
  <c r="O97" i="14" s="1"/>
  <c r="O256" i="14"/>
  <c r="O173" i="14" s="1"/>
  <c r="O174" i="14" s="1"/>
  <c r="O72" i="14"/>
  <c r="O73" i="14" s="1"/>
  <c r="N148" i="14"/>
  <c r="N149" i="14" s="1"/>
  <c r="O160" i="14"/>
  <c r="K128" i="14"/>
  <c r="K130" i="14" s="1"/>
  <c r="M109" i="14"/>
  <c r="M112" i="14" s="1"/>
  <c r="N255" i="14"/>
  <c r="N258" i="14" s="1"/>
  <c r="N94" i="13"/>
  <c r="N155" i="13"/>
  <c r="O72" i="13"/>
  <c r="O73" i="13" s="1"/>
  <c r="O92" i="13"/>
  <c r="O93" i="13"/>
  <c r="N168" i="13"/>
  <c r="M170" i="13"/>
  <c r="M184" i="13" s="1"/>
  <c r="O155" i="12"/>
  <c r="O170" i="12" s="1"/>
  <c r="O184" i="12" s="1"/>
  <c r="O94" i="12"/>
  <c r="N155" i="12"/>
  <c r="N170" i="12" s="1"/>
  <c r="N184" i="12" s="1"/>
  <c r="N94" i="12"/>
  <c r="K128" i="12"/>
  <c r="K130" i="12" s="1"/>
  <c r="O112" i="12"/>
  <c r="O148" i="12"/>
  <c r="O149" i="12" s="1"/>
  <c r="N155" i="11"/>
  <c r="N170" i="11" s="1"/>
  <c r="N184" i="11" s="1"/>
  <c r="N94" i="11"/>
  <c r="O155" i="11"/>
  <c r="O170" i="11" s="1"/>
  <c r="O184" i="11" s="1"/>
  <c r="O94" i="11"/>
  <c r="M155" i="11"/>
  <c r="M170" i="11" s="1"/>
  <c r="M184" i="11" s="1"/>
  <c r="M94" i="11"/>
  <c r="L128" i="11"/>
  <c r="L130" i="11" s="1"/>
  <c r="N93" i="11"/>
  <c r="N92" i="11"/>
  <c r="O92" i="11"/>
  <c r="O93" i="11"/>
  <c r="M112" i="11"/>
  <c r="O148" i="11"/>
  <c r="O149" i="11" s="1"/>
  <c r="M148" i="11"/>
  <c r="M149" i="11" s="1"/>
  <c r="M94" i="10"/>
  <c r="M155" i="10"/>
  <c r="M170" i="10" s="1"/>
  <c r="M184" i="10" s="1"/>
  <c r="N94" i="10"/>
  <c r="O94" i="10"/>
  <c r="O155" i="10"/>
  <c r="O148" i="10"/>
  <c r="O149" i="10" s="1"/>
  <c r="N109" i="10"/>
  <c r="N112" i="10" s="1"/>
  <c r="O255" i="10"/>
  <c r="O258" i="10" s="1"/>
  <c r="O109" i="10" s="1"/>
  <c r="O112" i="10" s="1"/>
  <c r="O92" i="10"/>
  <c r="L170" i="10"/>
  <c r="L184" i="10" s="1"/>
  <c r="O168" i="10"/>
  <c r="K170" i="10"/>
  <c r="K184" i="10" s="1"/>
  <c r="L286" i="9"/>
  <c r="L287" i="9" s="1"/>
  <c r="L94" i="9"/>
  <c r="L155" i="9"/>
  <c r="L170" i="9" s="1"/>
  <c r="O250" i="9"/>
  <c r="O105" i="9"/>
  <c r="O107" i="9" s="1"/>
  <c r="O115" i="9"/>
  <c r="O114" i="9"/>
  <c r="N82" i="9"/>
  <c r="N84" i="9" s="1"/>
  <c r="N86" i="9" s="1"/>
  <c r="N71" i="9"/>
  <c r="N105" i="9"/>
  <c r="N161" i="9" s="1"/>
  <c r="N250" i="9"/>
  <c r="N114" i="9"/>
  <c r="N115" i="9"/>
  <c r="N165" i="9" s="1"/>
  <c r="K287" i="9"/>
  <c r="K200" i="9" s="1"/>
  <c r="K288" i="9"/>
  <c r="M107" i="9"/>
  <c r="M117" i="9"/>
  <c r="M164" i="9"/>
  <c r="M109" i="9"/>
  <c r="N255" i="9"/>
  <c r="N258" i="9" s="1"/>
  <c r="L112" i="9"/>
  <c r="L148" i="9"/>
  <c r="L149" i="9" s="1"/>
  <c r="M72" i="9"/>
  <c r="M73" i="9" s="1"/>
  <c r="M161" i="9"/>
  <c r="M93" i="9"/>
  <c r="M92" i="9"/>
  <c r="N267" i="9"/>
  <c r="N270" i="9" s="1"/>
  <c r="M125" i="9"/>
  <c r="O82" i="9"/>
  <c r="O84" i="9" s="1"/>
  <c r="O86" i="9" s="1"/>
  <c r="O71" i="9"/>
  <c r="O286" i="8"/>
  <c r="O287" i="8" s="1"/>
  <c r="O94" i="8"/>
  <c r="O155" i="8"/>
  <c r="O170" i="8" s="1"/>
  <c r="N286" i="8"/>
  <c r="N287" i="8" s="1"/>
  <c r="N94" i="8"/>
  <c r="N155" i="8"/>
  <c r="N170" i="8" s="1"/>
  <c r="O92" i="8"/>
  <c r="M109" i="8"/>
  <c r="M112" i="8" s="1"/>
  <c r="N255" i="8"/>
  <c r="N258" i="8" s="1"/>
  <c r="K181" i="8"/>
  <c r="O148" i="8"/>
  <c r="O149" i="8" s="1"/>
  <c r="N267" i="8"/>
  <c r="N270" i="8" s="1"/>
  <c r="M125" i="8"/>
  <c r="N92" i="8"/>
  <c r="N93" i="8"/>
  <c r="M195" i="8"/>
  <c r="M197" i="8" s="1"/>
  <c r="N286" i="7"/>
  <c r="N287" i="7" s="1"/>
  <c r="N200" i="7" s="1"/>
  <c r="N181" i="7" s="1"/>
  <c r="N155" i="7"/>
  <c r="N170" i="7" s="1"/>
  <c r="N94" i="7"/>
  <c r="O286" i="7"/>
  <c r="O287" i="7" s="1"/>
  <c r="O200" i="7" s="1"/>
  <c r="O181" i="7" s="1"/>
  <c r="O94" i="7"/>
  <c r="O155" i="7"/>
  <c r="O170" i="7" s="1"/>
  <c r="M195" i="7"/>
  <c r="M197" i="7" s="1"/>
  <c r="M201" i="7" s="1"/>
  <c r="M205" i="7" s="1"/>
  <c r="N267" i="7"/>
  <c r="N270" i="7" s="1"/>
  <c r="M125" i="7"/>
  <c r="M109" i="7"/>
  <c r="N255" i="7"/>
  <c r="N258" i="7" s="1"/>
  <c r="O92" i="7"/>
  <c r="O93" i="7"/>
  <c r="M109" i="6"/>
  <c r="N255" i="6"/>
  <c r="N258" i="6" s="1"/>
  <c r="M92" i="6"/>
  <c r="M93" i="6"/>
  <c r="O117" i="6"/>
  <c r="O164" i="6"/>
  <c r="O168" i="6" s="1"/>
  <c r="N84" i="6"/>
  <c r="N86" i="6" s="1"/>
  <c r="O230" i="6"/>
  <c r="O122" i="6" s="1"/>
  <c r="O257" i="6"/>
  <c r="O156" i="6" s="1"/>
  <c r="O83" i="6" s="1"/>
  <c r="O97" i="6" s="1"/>
  <c r="O256" i="6"/>
  <c r="O173" i="6" s="1"/>
  <c r="O174" i="6" s="1"/>
  <c r="N267" i="6"/>
  <c r="N270" i="6" s="1"/>
  <c r="M125" i="6"/>
  <c r="O84" i="6"/>
  <c r="O86" i="6" s="1"/>
  <c r="O46" i="27" l="1"/>
  <c r="O48" i="27" s="1"/>
  <c r="O54" i="27" s="1"/>
  <c r="N37" i="30"/>
  <c r="N192" i="30"/>
  <c r="N40" i="30" s="1"/>
  <c r="O37" i="30"/>
  <c r="O192" i="30"/>
  <c r="O40" i="30" s="1"/>
  <c r="O84" i="18"/>
  <c r="O273" i="28"/>
  <c r="O275" i="28" s="1"/>
  <c r="O283" i="28" s="1"/>
  <c r="O84" i="28"/>
  <c r="O86" i="28" s="1"/>
  <c r="O93" i="28" s="1"/>
  <c r="N265" i="28"/>
  <c r="O282" i="28"/>
  <c r="M267" i="28"/>
  <c r="M78" i="28" s="1"/>
  <c r="M75" i="28"/>
  <c r="M30" i="28"/>
  <c r="N30" i="28"/>
  <c r="N54" i="27"/>
  <c r="O196" i="27"/>
  <c r="O207" i="27"/>
  <c r="O209" i="27" s="1"/>
  <c r="O190" i="27" s="1"/>
  <c r="N190" i="27"/>
  <c r="M192" i="27"/>
  <c r="M40" i="27" s="1"/>
  <c r="M37" i="27"/>
  <c r="L267" i="26"/>
  <c r="L78" i="26" s="1"/>
  <c r="N125" i="25"/>
  <c r="N282" i="26"/>
  <c r="N284" i="26" s="1"/>
  <c r="M329" i="25"/>
  <c r="M310" i="25" s="1"/>
  <c r="O242" i="26"/>
  <c r="O122" i="26" s="1"/>
  <c r="O50" i="26" s="1"/>
  <c r="O30" i="26"/>
  <c r="O267" i="25"/>
  <c r="O270" i="25" s="1"/>
  <c r="O109" i="25" s="1"/>
  <c r="M267" i="26"/>
  <c r="M78" i="26" s="1"/>
  <c r="M75" i="26"/>
  <c r="O38" i="25"/>
  <c r="O42" i="25"/>
  <c r="O34" i="25"/>
  <c r="L75" i="25"/>
  <c r="L312" i="25"/>
  <c r="L78" i="25" s="1"/>
  <c r="N30" i="25"/>
  <c r="O242" i="25"/>
  <c r="O122" i="25" s="1"/>
  <c r="O50" i="25" s="1"/>
  <c r="O318" i="25"/>
  <c r="O320" i="25" s="1"/>
  <c r="O328" i="25" s="1"/>
  <c r="O316" i="25"/>
  <c r="O29" i="25"/>
  <c r="O93" i="25"/>
  <c r="O92" i="25"/>
  <c r="M42" i="24"/>
  <c r="M109" i="24"/>
  <c r="M92" i="24"/>
  <c r="M29" i="24"/>
  <c r="M30" i="24" s="1"/>
  <c r="O302" i="24"/>
  <c r="O306" i="24" s="1"/>
  <c r="O308" i="24" s="1"/>
  <c r="O316" i="24" s="1"/>
  <c r="M38" i="24"/>
  <c r="M72" i="22"/>
  <c r="O84" i="24"/>
  <c r="O38" i="24" s="1"/>
  <c r="N304" i="24"/>
  <c r="N306" i="24"/>
  <c r="N308" i="24" s="1"/>
  <c r="N316" i="24" s="1"/>
  <c r="N38" i="24"/>
  <c r="N86" i="24"/>
  <c r="L30" i="24"/>
  <c r="L298" i="24"/>
  <c r="M315" i="24"/>
  <c r="M317" i="24" s="1"/>
  <c r="O230" i="24"/>
  <c r="O122" i="24" s="1"/>
  <c r="O50" i="24" s="1"/>
  <c r="O232" i="24"/>
  <c r="O233" i="24" s="1"/>
  <c r="N42" i="24"/>
  <c r="N34" i="24"/>
  <c r="N109" i="24"/>
  <c r="O255" i="24"/>
  <c r="O258" i="24" s="1"/>
  <c r="O109" i="24" s="1"/>
  <c r="O174" i="24"/>
  <c r="O33" i="24"/>
  <c r="O267" i="24"/>
  <c r="O270" i="24" s="1"/>
  <c r="O125" i="24" s="1"/>
  <c r="N125" i="24"/>
  <c r="N229" i="22"/>
  <c r="N232" i="22" s="1"/>
  <c r="O229" i="22" s="1"/>
  <c r="O232" i="22" s="1"/>
  <c r="O88" i="22" s="1"/>
  <c r="M277" i="22"/>
  <c r="M279" i="22" s="1"/>
  <c r="M260" i="22" s="1"/>
  <c r="O47" i="22"/>
  <c r="O49" i="22" s="1"/>
  <c r="N266" i="22"/>
  <c r="N268" i="22"/>
  <c r="N270" i="22" s="1"/>
  <c r="N278" i="22" s="1"/>
  <c r="L262" i="22"/>
  <c r="L41" i="22" s="1"/>
  <c r="L38" i="22"/>
  <c r="N49" i="22"/>
  <c r="M56" i="22"/>
  <c r="M55" i="22"/>
  <c r="O136" i="22"/>
  <c r="O217" i="22"/>
  <c r="O220" i="22" s="1"/>
  <c r="O72" i="22" s="1"/>
  <c r="N72" i="22"/>
  <c r="O264" i="22"/>
  <c r="O194" i="22"/>
  <c r="O195" i="22" s="1"/>
  <c r="O270" i="18"/>
  <c r="O125" i="18" s="1"/>
  <c r="L285" i="7"/>
  <c r="L288" i="7" s="1"/>
  <c r="K127" i="7"/>
  <c r="M285" i="8"/>
  <c r="M288" i="8" s="1"/>
  <c r="L127" i="8"/>
  <c r="M201" i="8"/>
  <c r="M205" i="8" s="1"/>
  <c r="M206" i="8" s="1"/>
  <c r="N200" i="8"/>
  <c r="N181" i="8" s="1"/>
  <c r="O200" i="8"/>
  <c r="O181" i="8" s="1"/>
  <c r="M168" i="9"/>
  <c r="L181" i="9"/>
  <c r="L200" i="9"/>
  <c r="L285" i="9"/>
  <c r="L288" i="9" s="1"/>
  <c r="K127" i="9"/>
  <c r="N92" i="14"/>
  <c r="N170" i="14"/>
  <c r="N184" i="14" s="1"/>
  <c r="O93" i="15"/>
  <c r="N38" i="20"/>
  <c r="M93" i="20"/>
  <c r="O157" i="20"/>
  <c r="O117" i="20"/>
  <c r="M29" i="20"/>
  <c r="M30" i="20" s="1"/>
  <c r="O256" i="20"/>
  <c r="O173" i="20" s="1"/>
  <c r="O33" i="20" s="1"/>
  <c r="O257" i="20"/>
  <c r="O156" i="20" s="1"/>
  <c r="O83" i="20" s="1"/>
  <c r="O97" i="20" s="1"/>
  <c r="O168" i="20"/>
  <c r="O41" i="20" s="1"/>
  <c r="M315" i="20"/>
  <c r="M317" i="20" s="1"/>
  <c r="M298" i="20" s="1"/>
  <c r="N255" i="20"/>
  <c r="N258" i="20" s="1"/>
  <c r="M109" i="20"/>
  <c r="N267" i="20"/>
  <c r="N270" i="20" s="1"/>
  <c r="N125" i="20" s="1"/>
  <c r="M125" i="20"/>
  <c r="K75" i="20"/>
  <c r="K300" i="20"/>
  <c r="K78" i="20" s="1"/>
  <c r="O304" i="20"/>
  <c r="O306" i="20"/>
  <c r="O308" i="20" s="1"/>
  <c r="O316" i="20" s="1"/>
  <c r="O230" i="20"/>
  <c r="O122" i="20" s="1"/>
  <c r="O50" i="20" s="1"/>
  <c r="N304" i="20"/>
  <c r="N306" i="20"/>
  <c r="N308" i="20" s="1"/>
  <c r="N316" i="20" s="1"/>
  <c r="L75" i="20"/>
  <c r="L300" i="20"/>
  <c r="L78" i="20" s="1"/>
  <c r="N86" i="20"/>
  <c r="N34" i="20"/>
  <c r="N42" i="20"/>
  <c r="N30" i="19"/>
  <c r="O255" i="19"/>
  <c r="O258" i="19" s="1"/>
  <c r="O109" i="19" s="1"/>
  <c r="N109" i="19"/>
  <c r="O230" i="19"/>
  <c r="O122" i="19" s="1"/>
  <c r="O50" i="19" s="1"/>
  <c r="O232" i="19"/>
  <c r="O233" i="19" s="1"/>
  <c r="O34" i="19"/>
  <c r="O42" i="19"/>
  <c r="O267" i="19"/>
  <c r="O270" i="19" s="1"/>
  <c r="O125" i="19" s="1"/>
  <c r="N125" i="19"/>
  <c r="L75" i="19"/>
  <c r="L300" i="19"/>
  <c r="L78" i="19" s="1"/>
  <c r="N315" i="19"/>
  <c r="N317" i="19" s="1"/>
  <c r="M298" i="19"/>
  <c r="M30" i="19"/>
  <c r="O93" i="19"/>
  <c r="O92" i="19"/>
  <c r="O29" i="19"/>
  <c r="O157" i="18"/>
  <c r="N86" i="18"/>
  <c r="O255" i="18"/>
  <c r="O258" i="18" s="1"/>
  <c r="O109" i="18" s="1"/>
  <c r="N109" i="18"/>
  <c r="O174" i="18"/>
  <c r="O86" i="18"/>
  <c r="M93" i="18"/>
  <c r="M92" i="18"/>
  <c r="O230" i="18"/>
  <c r="O122" i="18" s="1"/>
  <c r="O232" i="18"/>
  <c r="O233" i="18" s="1"/>
  <c r="O94" i="15"/>
  <c r="N94" i="15"/>
  <c r="O168" i="13"/>
  <c r="O94" i="14"/>
  <c r="O155" i="14"/>
  <c r="O148" i="14"/>
  <c r="O149" i="14" s="1"/>
  <c r="O267" i="14"/>
  <c r="O270" i="14" s="1"/>
  <c r="O125" i="14" s="1"/>
  <c r="O128" i="14" s="1"/>
  <c r="N125" i="14"/>
  <c r="N128" i="14" s="1"/>
  <c r="N109" i="14"/>
  <c r="N112" i="14" s="1"/>
  <c r="O255" i="14"/>
  <c r="O258" i="14" s="1"/>
  <c r="O109" i="14" s="1"/>
  <c r="O112" i="14" s="1"/>
  <c r="M130" i="14"/>
  <c r="O168" i="14"/>
  <c r="O84" i="14"/>
  <c r="O86" i="14" s="1"/>
  <c r="O94" i="13"/>
  <c r="O155" i="13"/>
  <c r="N170" i="13"/>
  <c r="N184" i="13" s="1"/>
  <c r="L128" i="12"/>
  <c r="L130" i="12" s="1"/>
  <c r="O112" i="11"/>
  <c r="N112" i="11"/>
  <c r="O128" i="11"/>
  <c r="N128" i="11"/>
  <c r="M128" i="11"/>
  <c r="M130" i="11" s="1"/>
  <c r="O170" i="10"/>
  <c r="O184" i="10" s="1"/>
  <c r="K128" i="10"/>
  <c r="K130" i="10" s="1"/>
  <c r="M286" i="9"/>
  <c r="M287" i="9" s="1"/>
  <c r="M155" i="9"/>
  <c r="M170" i="9" s="1"/>
  <c r="M94" i="9"/>
  <c r="K181" i="9"/>
  <c r="O72" i="9"/>
  <c r="O73" i="9"/>
  <c r="O93" i="9"/>
  <c r="O92" i="9"/>
  <c r="O267" i="9"/>
  <c r="O270" i="9" s="1"/>
  <c r="O125" i="9" s="1"/>
  <c r="N125" i="9"/>
  <c r="N117" i="9"/>
  <c r="N164" i="9"/>
  <c r="N168" i="9" s="1"/>
  <c r="O161" i="9"/>
  <c r="N107" i="9"/>
  <c r="N72" i="9"/>
  <c r="N73" i="9"/>
  <c r="N93" i="9"/>
  <c r="N92" i="9"/>
  <c r="O117" i="9"/>
  <c r="O164" i="9"/>
  <c r="O165" i="9"/>
  <c r="N109" i="9"/>
  <c r="O255" i="9"/>
  <c r="O258" i="9" s="1"/>
  <c r="O109" i="9" s="1"/>
  <c r="O112" i="9" s="1"/>
  <c r="O148" i="9"/>
  <c r="O149" i="9" s="1"/>
  <c r="M112" i="9"/>
  <c r="M148" i="9"/>
  <c r="M149" i="9" s="1"/>
  <c r="O267" i="8"/>
  <c r="O270" i="8" s="1"/>
  <c r="O125" i="8" s="1"/>
  <c r="N125" i="8"/>
  <c r="N109" i="8"/>
  <c r="N112" i="8" s="1"/>
  <c r="O255" i="8"/>
  <c r="O258" i="8" s="1"/>
  <c r="O109" i="8" s="1"/>
  <c r="O112" i="8" s="1"/>
  <c r="K201" i="8"/>
  <c r="K205" i="8" s="1"/>
  <c r="K206" i="8" s="1"/>
  <c r="K218" i="8" s="1"/>
  <c r="N195" i="8"/>
  <c r="N197" i="8" s="1"/>
  <c r="N201" i="8" s="1"/>
  <c r="N205" i="8" s="1"/>
  <c r="N206" i="8" s="1"/>
  <c r="O195" i="8"/>
  <c r="O197" i="8" s="1"/>
  <c r="N109" i="7"/>
  <c r="O255" i="7"/>
  <c r="O258" i="7" s="1"/>
  <c r="O109" i="7" s="1"/>
  <c r="K201" i="7"/>
  <c r="K205" i="7" s="1"/>
  <c r="K206" i="7" s="1"/>
  <c r="K218" i="7" s="1"/>
  <c r="O267" i="7"/>
  <c r="O270" i="7" s="1"/>
  <c r="O125" i="7" s="1"/>
  <c r="N125" i="7"/>
  <c r="O195" i="7"/>
  <c r="O197" i="7" s="1"/>
  <c r="O201" i="7" s="1"/>
  <c r="O205" i="7" s="1"/>
  <c r="N195" i="7"/>
  <c r="N197" i="7" s="1"/>
  <c r="N201" i="7" s="1"/>
  <c r="N205" i="7" s="1"/>
  <c r="O92" i="6"/>
  <c r="O93" i="6"/>
  <c r="O267" i="6"/>
  <c r="O270" i="6" s="1"/>
  <c r="O125" i="6" s="1"/>
  <c r="N125" i="6"/>
  <c r="N93" i="6"/>
  <c r="N92" i="6"/>
  <c r="N109" i="6"/>
  <c r="O255" i="6"/>
  <c r="O258" i="6" s="1"/>
  <c r="O109" i="6" s="1"/>
  <c r="O55" i="27" l="1"/>
  <c r="O284" i="28"/>
  <c r="O265" i="28" s="1"/>
  <c r="O267" i="28" s="1"/>
  <c r="O78" i="28" s="1"/>
  <c r="O29" i="28"/>
  <c r="O30" i="28" s="1"/>
  <c r="O92" i="28"/>
  <c r="O38" i="28"/>
  <c r="N267" i="28"/>
  <c r="N78" i="28" s="1"/>
  <c r="N75" i="28"/>
  <c r="N192" i="27"/>
  <c r="N40" i="27" s="1"/>
  <c r="N37" i="27"/>
  <c r="O192" i="27"/>
  <c r="O40" i="27" s="1"/>
  <c r="O37" i="27"/>
  <c r="N327" i="25"/>
  <c r="N329" i="25" s="1"/>
  <c r="O327" i="25" s="1"/>
  <c r="O329" i="25" s="1"/>
  <c r="O310" i="25" s="1"/>
  <c r="N265" i="26"/>
  <c r="O282" i="26"/>
  <c r="O284" i="26" s="1"/>
  <c r="O265" i="26" s="1"/>
  <c r="O244" i="26"/>
  <c r="O245" i="26" s="1"/>
  <c r="O244" i="25"/>
  <c r="O245" i="25" s="1"/>
  <c r="M75" i="25"/>
  <c r="M312" i="25"/>
  <c r="M78" i="25" s="1"/>
  <c r="O30" i="25"/>
  <c r="O304" i="24"/>
  <c r="O86" i="24"/>
  <c r="O92" i="24" s="1"/>
  <c r="O34" i="24"/>
  <c r="O42" i="24"/>
  <c r="N92" i="24"/>
  <c r="N29" i="24"/>
  <c r="N93" i="24"/>
  <c r="L300" i="24"/>
  <c r="L78" i="24" s="1"/>
  <c r="L75" i="24"/>
  <c r="M298" i="24"/>
  <c r="N315" i="24"/>
  <c r="N317" i="24" s="1"/>
  <c r="N88" i="22"/>
  <c r="N277" i="22"/>
  <c r="N279" i="22" s="1"/>
  <c r="O277" i="22" s="1"/>
  <c r="M262" i="22"/>
  <c r="M41" i="22" s="1"/>
  <c r="M38" i="22"/>
  <c r="O268" i="22"/>
  <c r="O270" i="22" s="1"/>
  <c r="O278" i="22" s="1"/>
  <c r="O266" i="22"/>
  <c r="O55" i="22"/>
  <c r="O56" i="22"/>
  <c r="N55" i="22"/>
  <c r="N56" i="22"/>
  <c r="M285" i="7"/>
  <c r="M288" i="7" s="1"/>
  <c r="L127" i="7"/>
  <c r="N285" i="8"/>
  <c r="N288" i="8" s="1"/>
  <c r="M127" i="8"/>
  <c r="O201" i="8"/>
  <c r="O205" i="8" s="1"/>
  <c r="O206" i="8" s="1"/>
  <c r="M285" i="9"/>
  <c r="M288" i="9" s="1"/>
  <c r="L127" i="9"/>
  <c r="M181" i="9"/>
  <c r="M200" i="9"/>
  <c r="O232" i="20"/>
  <c r="O233" i="20" s="1"/>
  <c r="O84" i="20"/>
  <c r="O174" i="20"/>
  <c r="N315" i="20"/>
  <c r="N317" i="20" s="1"/>
  <c r="O267" i="20"/>
  <c r="O270" i="20" s="1"/>
  <c r="O125" i="20" s="1"/>
  <c r="O255" i="20"/>
  <c r="O258" i="20" s="1"/>
  <c r="O109" i="20" s="1"/>
  <c r="N109" i="20"/>
  <c r="N93" i="20"/>
  <c r="N92" i="20"/>
  <c r="N29" i="20"/>
  <c r="M300" i="20"/>
  <c r="M78" i="20" s="1"/>
  <c r="M75" i="20"/>
  <c r="O34" i="20"/>
  <c r="O42" i="20"/>
  <c r="M75" i="19"/>
  <c r="M300" i="19"/>
  <c r="M78" i="19" s="1"/>
  <c r="O315" i="19"/>
  <c r="O317" i="19" s="1"/>
  <c r="O298" i="19" s="1"/>
  <c r="N298" i="19"/>
  <c r="O30" i="19"/>
  <c r="O93" i="18"/>
  <c r="O92" i="18"/>
  <c r="N93" i="18"/>
  <c r="N92" i="18"/>
  <c r="O168" i="9"/>
  <c r="O170" i="13"/>
  <c r="O184" i="13" s="1"/>
  <c r="N130" i="14"/>
  <c r="O130" i="14"/>
  <c r="O93" i="14"/>
  <c r="O92" i="14"/>
  <c r="O170" i="14"/>
  <c r="O184" i="14" s="1"/>
  <c r="M128" i="12"/>
  <c r="M130" i="12" s="1"/>
  <c r="N130" i="11"/>
  <c r="O130" i="11"/>
  <c r="L128" i="10"/>
  <c r="L130" i="10" s="1"/>
  <c r="N286" i="9"/>
  <c r="N287" i="9" s="1"/>
  <c r="N155" i="9"/>
  <c r="N170" i="9" s="1"/>
  <c r="N94" i="9"/>
  <c r="N112" i="9"/>
  <c r="N148" i="9"/>
  <c r="N149" i="9" s="1"/>
  <c r="O286" i="9"/>
  <c r="O287" i="9" s="1"/>
  <c r="O155" i="9"/>
  <c r="O94" i="9"/>
  <c r="K209" i="8"/>
  <c r="K219" i="8"/>
  <c r="K209" i="7"/>
  <c r="K219" i="7"/>
  <c r="O75" i="28" l="1"/>
  <c r="N310" i="25"/>
  <c r="N312" i="25" s="1"/>
  <c r="N78" i="25" s="1"/>
  <c r="O267" i="26"/>
  <c r="O78" i="26" s="1"/>
  <c r="O75" i="26"/>
  <c r="N267" i="26"/>
  <c r="N78" i="26" s="1"/>
  <c r="N75" i="26"/>
  <c r="O312" i="25"/>
  <c r="O78" i="25" s="1"/>
  <c r="O75" i="25"/>
  <c r="O93" i="24"/>
  <c r="O29" i="24"/>
  <c r="O30" i="24" s="1"/>
  <c r="N298" i="24"/>
  <c r="O315" i="24"/>
  <c r="O317" i="24" s="1"/>
  <c r="O298" i="24" s="1"/>
  <c r="N30" i="24"/>
  <c r="M300" i="24"/>
  <c r="M78" i="24" s="1"/>
  <c r="M75" i="24"/>
  <c r="N260" i="22"/>
  <c r="N38" i="22" s="1"/>
  <c r="O279" i="22"/>
  <c r="O260" i="22" s="1"/>
  <c r="N285" i="7"/>
  <c r="N288" i="7" s="1"/>
  <c r="M127" i="7"/>
  <c r="O285" i="8"/>
  <c r="O288" i="8" s="1"/>
  <c r="O127" i="8" s="1"/>
  <c r="N127" i="8"/>
  <c r="N285" i="9"/>
  <c r="N288" i="9" s="1"/>
  <c r="M127" i="9"/>
  <c r="O170" i="9"/>
  <c r="N200" i="9"/>
  <c r="N181" i="9" s="1"/>
  <c r="O181" i="9"/>
  <c r="O200" i="9"/>
  <c r="O86" i="20"/>
  <c r="O93" i="20" s="1"/>
  <c r="O38" i="20"/>
  <c r="O315" i="20"/>
  <c r="O317" i="20" s="1"/>
  <c r="O298" i="20" s="1"/>
  <c r="O75" i="20" s="1"/>
  <c r="N298" i="20"/>
  <c r="N75" i="20" s="1"/>
  <c r="N30" i="20"/>
  <c r="N75" i="19"/>
  <c r="N300" i="19"/>
  <c r="N78" i="19" s="1"/>
  <c r="O75" i="19"/>
  <c r="O300" i="19"/>
  <c r="O78" i="19" s="1"/>
  <c r="O128" i="12"/>
  <c r="O130" i="12" s="1"/>
  <c r="N128" i="12"/>
  <c r="N130" i="12" s="1"/>
  <c r="M128" i="10"/>
  <c r="M130" i="10" s="1"/>
  <c r="K123" i="9"/>
  <c r="K128" i="9" s="1"/>
  <c r="K130" i="9" s="1"/>
  <c r="K182" i="9"/>
  <c r="K184" i="9" s="1"/>
  <c r="K123" i="8"/>
  <c r="K128" i="8" s="1"/>
  <c r="K130" i="8" s="1"/>
  <c r="L217" i="8"/>
  <c r="K225" i="8"/>
  <c r="K210" i="8"/>
  <c r="K182" i="8"/>
  <c r="K184" i="8" s="1"/>
  <c r="K121" i="7"/>
  <c r="K123" i="7" s="1"/>
  <c r="K128" i="7" s="1"/>
  <c r="L217" i="7"/>
  <c r="K225" i="7"/>
  <c r="K210" i="7"/>
  <c r="K182" i="7"/>
  <c r="K184" i="7" s="1"/>
  <c r="N75" i="25" l="1"/>
  <c r="N300" i="24"/>
  <c r="N78" i="24" s="1"/>
  <c r="N75" i="24"/>
  <c r="O300" i="24"/>
  <c r="O78" i="24" s="1"/>
  <c r="O75" i="24"/>
  <c r="N262" i="22"/>
  <c r="N41" i="22" s="1"/>
  <c r="O262" i="22"/>
  <c r="O41" i="22" s="1"/>
  <c r="O38" i="22"/>
  <c r="O285" i="7"/>
  <c r="O288" i="7" s="1"/>
  <c r="O127" i="7" s="1"/>
  <c r="N127" i="7"/>
  <c r="O285" i="9"/>
  <c r="O288" i="9" s="1"/>
  <c r="O127" i="9" s="1"/>
  <c r="N127" i="9"/>
  <c r="O92" i="20"/>
  <c r="O29" i="20"/>
  <c r="O30" i="20" s="1"/>
  <c r="N300" i="20"/>
  <c r="N78" i="20" s="1"/>
  <c r="O300" i="20"/>
  <c r="O78" i="20" s="1"/>
  <c r="O128" i="10"/>
  <c r="O130" i="10" s="1"/>
  <c r="N128" i="10"/>
  <c r="N130" i="10" s="1"/>
  <c r="L218" i="8"/>
  <c r="L209" i="8" s="1"/>
  <c r="K107" i="7"/>
  <c r="L203" i="7"/>
  <c r="L206" i="7" s="1"/>
  <c r="L218" i="7"/>
  <c r="L209" i="7" s="1"/>
  <c r="L182" i="9" l="1"/>
  <c r="L184" i="9" s="1"/>
  <c r="L210" i="8"/>
  <c r="L182" i="8"/>
  <c r="L184" i="8" s="1"/>
  <c r="L219" i="8"/>
  <c r="L210" i="7"/>
  <c r="L182" i="7"/>
  <c r="L184" i="7" s="1"/>
  <c r="L219" i="7"/>
  <c r="K148" i="7"/>
  <c r="K149" i="7" s="1"/>
  <c r="K112" i="7"/>
  <c r="K130" i="7" s="1"/>
  <c r="L123" i="9" l="1"/>
  <c r="L128" i="9" s="1"/>
  <c r="L130" i="9" s="1"/>
  <c r="L121" i="8"/>
  <c r="L123" i="8" s="1"/>
  <c r="L128" i="8" s="1"/>
  <c r="L130" i="8" s="1"/>
  <c r="M217" i="8"/>
  <c r="L225" i="8"/>
  <c r="L121" i="7"/>
  <c r="L123" i="7" s="1"/>
  <c r="L128" i="7" s="1"/>
  <c r="M217" i="7"/>
  <c r="L225" i="7"/>
  <c r="M203" i="7"/>
  <c r="M206" i="7" s="1"/>
  <c r="L107" i="7"/>
  <c r="M218" i="8" l="1"/>
  <c r="M209" i="8" s="1"/>
  <c r="L148" i="7"/>
  <c r="L149" i="7" s="1"/>
  <c r="L112" i="7"/>
  <c r="L130" i="7" s="1"/>
  <c r="M218" i="7"/>
  <c r="M209" i="7" s="1"/>
  <c r="M182" i="9" l="1"/>
  <c r="M184" i="9" s="1"/>
  <c r="M210" i="8"/>
  <c r="M182" i="8"/>
  <c r="M184" i="8" s="1"/>
  <c r="M219" i="8"/>
  <c r="M210" i="7"/>
  <c r="M182" i="7"/>
  <c r="M184" i="7" s="1"/>
  <c r="M219" i="7"/>
  <c r="M123" i="9" l="1"/>
  <c r="M128" i="9" s="1"/>
  <c r="M130" i="9" s="1"/>
  <c r="M121" i="8"/>
  <c r="M123" i="8" s="1"/>
  <c r="M128" i="8" s="1"/>
  <c r="M130" i="8" s="1"/>
  <c r="N217" i="8"/>
  <c r="M225" i="8"/>
  <c r="M121" i="7"/>
  <c r="M123" i="7" s="1"/>
  <c r="M128" i="7" s="1"/>
  <c r="N217" i="7"/>
  <c r="M225" i="7"/>
  <c r="N203" i="7"/>
  <c r="N206" i="7" s="1"/>
  <c r="M107" i="7"/>
  <c r="N218" i="8" l="1"/>
  <c r="N209" i="8" s="1"/>
  <c r="M112" i="7"/>
  <c r="M130" i="7" s="1"/>
  <c r="M148" i="7"/>
  <c r="M149" i="7" s="1"/>
  <c r="N218" i="7"/>
  <c r="N209" i="7" s="1"/>
  <c r="N182" i="9" l="1"/>
  <c r="N184" i="9" s="1"/>
  <c r="N210" i="8"/>
  <c r="N182" i="8"/>
  <c r="N184" i="8" s="1"/>
  <c r="N219" i="8"/>
  <c r="N210" i="7"/>
  <c r="N182" i="7"/>
  <c r="N184" i="7" s="1"/>
  <c r="N219" i="7"/>
  <c r="N123" i="9" l="1"/>
  <c r="N128" i="9" s="1"/>
  <c r="N130" i="9" s="1"/>
  <c r="N121" i="8"/>
  <c r="N123" i="8" s="1"/>
  <c r="N128" i="8" s="1"/>
  <c r="N130" i="8" s="1"/>
  <c r="O217" i="8"/>
  <c r="N225" i="8"/>
  <c r="O203" i="7"/>
  <c r="O206" i="7" s="1"/>
  <c r="N107" i="7"/>
  <c r="N121" i="7"/>
  <c r="N123" i="7" s="1"/>
  <c r="N128" i="7" s="1"/>
  <c r="O217" i="7"/>
  <c r="N225" i="7"/>
  <c r="O218" i="8" l="1"/>
  <c r="O209" i="8" s="1"/>
  <c r="N112" i="7"/>
  <c r="N130" i="7" s="1"/>
  <c r="N148" i="7"/>
  <c r="N149" i="7" s="1"/>
  <c r="O218" i="7"/>
  <c r="O209" i="7" s="1"/>
  <c r="O182" i="9" l="1"/>
  <c r="O184" i="9" s="1"/>
  <c r="O210" i="8"/>
  <c r="O182" i="8"/>
  <c r="O184" i="8" s="1"/>
  <c r="O219" i="8"/>
  <c r="O210" i="7"/>
  <c r="O182" i="7"/>
  <c r="O184" i="7" s="1"/>
  <c r="O107" i="7" s="1"/>
  <c r="O219" i="7"/>
  <c r="O123" i="9" l="1"/>
  <c r="O128" i="9" s="1"/>
  <c r="O130" i="9" s="1"/>
  <c r="O121" i="8"/>
  <c r="O123" i="8" s="1"/>
  <c r="O128" i="8" s="1"/>
  <c r="O130" i="8" s="1"/>
  <c r="O225" i="8"/>
  <c r="O112" i="7"/>
  <c r="O148" i="7"/>
  <c r="O149" i="7" s="1"/>
  <c r="O121" i="7"/>
  <c r="O123" i="7" s="1"/>
  <c r="O128" i="7" s="1"/>
  <c r="O225" i="7"/>
  <c r="O130" i="7" l="1"/>
  <c r="B316" i="5" l="1"/>
  <c r="K285" i="5"/>
  <c r="K277" i="5"/>
  <c r="K279" i="5" s="1"/>
  <c r="K126" i="5" s="1"/>
  <c r="K267" i="5"/>
  <c r="K255" i="5"/>
  <c r="K240" i="5"/>
  <c r="K228" i="5"/>
  <c r="B227" i="5"/>
  <c r="K217" i="5"/>
  <c r="B209" i="5"/>
  <c r="B216" i="5" s="1"/>
  <c r="O204" i="5"/>
  <c r="N204" i="5"/>
  <c r="M204" i="5"/>
  <c r="L204" i="5"/>
  <c r="K204" i="5"/>
  <c r="K203" i="5"/>
  <c r="O199" i="5"/>
  <c r="O180" i="5" s="1"/>
  <c r="N199" i="5"/>
  <c r="N180" i="5" s="1"/>
  <c r="M199" i="5"/>
  <c r="M180" i="5" s="1"/>
  <c r="L199" i="5"/>
  <c r="L180" i="5" s="1"/>
  <c r="K199" i="5"/>
  <c r="O198" i="5"/>
  <c r="O179" i="5" s="1"/>
  <c r="N198" i="5"/>
  <c r="N179" i="5" s="1"/>
  <c r="M198" i="5"/>
  <c r="M179" i="5" s="1"/>
  <c r="L198" i="5"/>
  <c r="L179" i="5" s="1"/>
  <c r="K198" i="5"/>
  <c r="K179" i="5" s="1"/>
  <c r="O191" i="5"/>
  <c r="N191" i="5"/>
  <c r="M191" i="5"/>
  <c r="M192" i="5" s="1"/>
  <c r="L191" i="5"/>
  <c r="K191" i="5"/>
  <c r="B191" i="5"/>
  <c r="K180" i="5"/>
  <c r="B167" i="5"/>
  <c r="B166" i="5"/>
  <c r="B165" i="5"/>
  <c r="B164" i="5"/>
  <c r="B163" i="5"/>
  <c r="B162" i="5"/>
  <c r="B161" i="5"/>
  <c r="B160" i="5"/>
  <c r="J135" i="5"/>
  <c r="J251" i="5" s="1"/>
  <c r="I135" i="5"/>
  <c r="I251" i="5" s="1"/>
  <c r="H135" i="5"/>
  <c r="H251" i="5" s="1"/>
  <c r="B135" i="5"/>
  <c r="B251" i="5" s="1"/>
  <c r="J134" i="5"/>
  <c r="J143" i="5" s="1"/>
  <c r="I134" i="5"/>
  <c r="I139" i="5" s="1"/>
  <c r="H134" i="5"/>
  <c r="H143" i="5" s="1"/>
  <c r="B134" i="5"/>
  <c r="B250" i="5" s="1"/>
  <c r="J133" i="5"/>
  <c r="J249" i="5" s="1"/>
  <c r="I133" i="5"/>
  <c r="I249" i="5" s="1"/>
  <c r="H133" i="5"/>
  <c r="H249" i="5" s="1"/>
  <c r="B133" i="5"/>
  <c r="B249" i="5" s="1"/>
  <c r="J123" i="5"/>
  <c r="I123" i="5"/>
  <c r="H123" i="5"/>
  <c r="J117" i="5"/>
  <c r="I117" i="5"/>
  <c r="H117" i="5"/>
  <c r="H128" i="5" s="1"/>
  <c r="K110" i="5"/>
  <c r="L110" i="5" s="1"/>
  <c r="M110" i="5" s="1"/>
  <c r="N110" i="5" s="1"/>
  <c r="O110" i="5" s="1"/>
  <c r="J107" i="5"/>
  <c r="I107" i="5"/>
  <c r="H107" i="5"/>
  <c r="H101" i="5"/>
  <c r="K153" i="5" s="1"/>
  <c r="K188" i="5" s="1"/>
  <c r="K214" i="5" s="1"/>
  <c r="K238" i="5" s="1"/>
  <c r="J97" i="5"/>
  <c r="I97" i="5"/>
  <c r="H97" i="5"/>
  <c r="J91" i="5"/>
  <c r="K91" i="5" s="1"/>
  <c r="I91" i="5"/>
  <c r="H91" i="5"/>
  <c r="J89" i="5"/>
  <c r="I89" i="5"/>
  <c r="J66" i="5"/>
  <c r="J90" i="5" s="1"/>
  <c r="K90" i="5" s="1"/>
  <c r="L90" i="5" s="1"/>
  <c r="M90" i="5" s="1"/>
  <c r="N90" i="5" s="1"/>
  <c r="O90" i="5" s="1"/>
  <c r="I66" i="5"/>
  <c r="I90" i="5" s="1"/>
  <c r="H66" i="5"/>
  <c r="H90" i="5" s="1"/>
  <c r="K64" i="5"/>
  <c r="K65" i="5" s="1"/>
  <c r="K63" i="5"/>
  <c r="H25" i="5"/>
  <c r="B20" i="5"/>
  <c r="B316" i="4"/>
  <c r="K308" i="4"/>
  <c r="L307" i="4"/>
  <c r="M307" i="4" s="1"/>
  <c r="O303" i="4"/>
  <c r="N303" i="4"/>
  <c r="M303" i="4"/>
  <c r="L303" i="4"/>
  <c r="K303" i="4"/>
  <c r="K311" i="4" s="1"/>
  <c r="J300" i="4"/>
  <c r="I300" i="4"/>
  <c r="H300" i="4"/>
  <c r="J298" i="4"/>
  <c r="I298" i="4"/>
  <c r="I299" i="4" s="1"/>
  <c r="H298" i="4"/>
  <c r="K285" i="4"/>
  <c r="K277" i="4"/>
  <c r="K279" i="4" s="1"/>
  <c r="K126" i="4" s="1"/>
  <c r="K267" i="4"/>
  <c r="K255" i="4"/>
  <c r="K240" i="4"/>
  <c r="K228" i="4"/>
  <c r="K230" i="4" s="1"/>
  <c r="B227" i="4"/>
  <c r="K217" i="4"/>
  <c r="B209" i="4"/>
  <c r="B216" i="4" s="1"/>
  <c r="O204" i="4"/>
  <c r="N204" i="4"/>
  <c r="M204" i="4"/>
  <c r="L204" i="4"/>
  <c r="K204" i="4"/>
  <c r="K203" i="4"/>
  <c r="O199" i="4"/>
  <c r="O180" i="4" s="1"/>
  <c r="N199" i="4"/>
  <c r="N180" i="4" s="1"/>
  <c r="M199" i="4"/>
  <c r="M180" i="4" s="1"/>
  <c r="L199" i="4"/>
  <c r="L180" i="4" s="1"/>
  <c r="K199" i="4"/>
  <c r="K180" i="4" s="1"/>
  <c r="O198" i="4"/>
  <c r="O179" i="4" s="1"/>
  <c r="N198" i="4"/>
  <c r="N179" i="4" s="1"/>
  <c r="M198" i="4"/>
  <c r="M179" i="4" s="1"/>
  <c r="L198" i="4"/>
  <c r="L179" i="4" s="1"/>
  <c r="K198" i="4"/>
  <c r="K179" i="4" s="1"/>
  <c r="O191" i="4"/>
  <c r="N191" i="4"/>
  <c r="N192" i="4" s="1"/>
  <c r="M191" i="4"/>
  <c r="M192" i="4" s="1"/>
  <c r="L191" i="4"/>
  <c r="K191" i="4"/>
  <c r="K192" i="4" s="1"/>
  <c r="B191" i="4"/>
  <c r="B167" i="4"/>
  <c r="B166" i="4"/>
  <c r="B165" i="4"/>
  <c r="B164" i="4"/>
  <c r="B163" i="4"/>
  <c r="B162" i="4"/>
  <c r="B161" i="4"/>
  <c r="B160" i="4"/>
  <c r="H143" i="4"/>
  <c r="H138" i="4"/>
  <c r="J135" i="4"/>
  <c r="J251" i="4" s="1"/>
  <c r="I135" i="4"/>
  <c r="I251" i="4" s="1"/>
  <c r="H135" i="4"/>
  <c r="H251" i="4" s="1"/>
  <c r="B135" i="4"/>
  <c r="B251" i="4" s="1"/>
  <c r="J134" i="4"/>
  <c r="J143" i="4" s="1"/>
  <c r="I134" i="4"/>
  <c r="I143" i="4" s="1"/>
  <c r="H134" i="4"/>
  <c r="H139" i="4" s="1"/>
  <c r="B134" i="4"/>
  <c r="B250" i="4" s="1"/>
  <c r="J133" i="4"/>
  <c r="J249" i="4" s="1"/>
  <c r="I133" i="4"/>
  <c r="I249" i="4" s="1"/>
  <c r="H133" i="4"/>
  <c r="H141" i="4" s="1"/>
  <c r="B133" i="4"/>
  <c r="B249" i="4" s="1"/>
  <c r="J123" i="4"/>
  <c r="I123" i="4"/>
  <c r="H123" i="4"/>
  <c r="J117" i="4"/>
  <c r="I117" i="4"/>
  <c r="I128" i="4" s="1"/>
  <c r="H117" i="4"/>
  <c r="H128" i="4" s="1"/>
  <c r="K110" i="4"/>
  <c r="L110" i="4" s="1"/>
  <c r="M110" i="4" s="1"/>
  <c r="N110" i="4" s="1"/>
  <c r="O110" i="4" s="1"/>
  <c r="J107" i="4"/>
  <c r="J112" i="4" s="1"/>
  <c r="I107" i="4"/>
  <c r="I112" i="4" s="1"/>
  <c r="H107" i="4"/>
  <c r="H112" i="4" s="1"/>
  <c r="H101" i="4"/>
  <c r="K153" i="4" s="1"/>
  <c r="K188" i="4" s="1"/>
  <c r="K214" i="4" s="1"/>
  <c r="K238" i="4" s="1"/>
  <c r="J97" i="4"/>
  <c r="I97" i="4"/>
  <c r="H97" i="4"/>
  <c r="J91" i="4"/>
  <c r="K91" i="4" s="1"/>
  <c r="I91" i="4"/>
  <c r="H91" i="4"/>
  <c r="J89" i="4"/>
  <c r="I89" i="4"/>
  <c r="J66" i="4"/>
  <c r="J90" i="4" s="1"/>
  <c r="K90" i="4" s="1"/>
  <c r="L90" i="4" s="1"/>
  <c r="M90" i="4" s="1"/>
  <c r="N90" i="4" s="1"/>
  <c r="O90" i="4" s="1"/>
  <c r="I66" i="4"/>
  <c r="I68" i="4" s="1"/>
  <c r="I82" i="4" s="1"/>
  <c r="I84" i="4" s="1"/>
  <c r="I86" i="4" s="1"/>
  <c r="H66" i="4"/>
  <c r="H90" i="4" s="1"/>
  <c r="K64" i="4"/>
  <c r="K63" i="4"/>
  <c r="B50" i="4"/>
  <c r="B49" i="4"/>
  <c r="H25" i="4"/>
  <c r="B20" i="4"/>
  <c r="B316" i="3"/>
  <c r="K312" i="3"/>
  <c r="L311" i="3"/>
  <c r="M311" i="3" s="1"/>
  <c r="O303" i="3"/>
  <c r="N303" i="3"/>
  <c r="M303" i="3"/>
  <c r="L303" i="3"/>
  <c r="K303" i="3"/>
  <c r="J300" i="3"/>
  <c r="I300" i="3"/>
  <c r="H300" i="3"/>
  <c r="J298" i="3"/>
  <c r="J299" i="3" s="1"/>
  <c r="K299" i="3" s="1"/>
  <c r="L299" i="3" s="1"/>
  <c r="M299" i="3" s="1"/>
  <c r="N299" i="3" s="1"/>
  <c r="O299" i="3" s="1"/>
  <c r="I298" i="3"/>
  <c r="H298" i="3"/>
  <c r="K285" i="3"/>
  <c r="K277" i="3"/>
  <c r="K279" i="3" s="1"/>
  <c r="K267" i="3"/>
  <c r="K255" i="3"/>
  <c r="K240" i="3"/>
  <c r="K228" i="3"/>
  <c r="K230" i="3" s="1"/>
  <c r="B227" i="3"/>
  <c r="K217" i="3"/>
  <c r="B209" i="3"/>
  <c r="B216" i="3" s="1"/>
  <c r="O204" i="3"/>
  <c r="N204" i="3"/>
  <c r="M204" i="3"/>
  <c r="L204" i="3"/>
  <c r="K204" i="3"/>
  <c r="K203" i="3"/>
  <c r="O199" i="3"/>
  <c r="O180" i="3" s="1"/>
  <c r="N199" i="3"/>
  <c r="N180" i="3" s="1"/>
  <c r="M199" i="3"/>
  <c r="M180" i="3" s="1"/>
  <c r="L199" i="3"/>
  <c r="L180" i="3" s="1"/>
  <c r="K199" i="3"/>
  <c r="K180" i="3" s="1"/>
  <c r="O198" i="3"/>
  <c r="O179" i="3" s="1"/>
  <c r="N198" i="3"/>
  <c r="N179" i="3" s="1"/>
  <c r="M198" i="3"/>
  <c r="M179" i="3" s="1"/>
  <c r="L198" i="3"/>
  <c r="L179" i="3" s="1"/>
  <c r="K198" i="3"/>
  <c r="K179" i="3" s="1"/>
  <c r="O191" i="3"/>
  <c r="N191" i="3"/>
  <c r="M191" i="3"/>
  <c r="M192" i="3" s="1"/>
  <c r="M196" i="3" s="1"/>
  <c r="L191" i="3"/>
  <c r="L192" i="3" s="1"/>
  <c r="L196" i="3" s="1"/>
  <c r="K191" i="3"/>
  <c r="K192" i="3" s="1"/>
  <c r="K196" i="3" s="1"/>
  <c r="B191" i="3"/>
  <c r="B167" i="3"/>
  <c r="B166" i="3"/>
  <c r="B165" i="3"/>
  <c r="B164" i="3"/>
  <c r="B163" i="3"/>
  <c r="B162" i="3"/>
  <c r="B161" i="3"/>
  <c r="B160" i="3"/>
  <c r="J135" i="3"/>
  <c r="J251" i="3" s="1"/>
  <c r="I135" i="3"/>
  <c r="I251" i="3" s="1"/>
  <c r="H135" i="3"/>
  <c r="H251" i="3" s="1"/>
  <c r="B135" i="3"/>
  <c r="B251" i="3" s="1"/>
  <c r="J134" i="3"/>
  <c r="J143" i="3" s="1"/>
  <c r="I134" i="3"/>
  <c r="I139" i="3" s="1"/>
  <c r="H134" i="3"/>
  <c r="H143" i="3" s="1"/>
  <c r="B134" i="3"/>
  <c r="B250" i="3" s="1"/>
  <c r="J133" i="3"/>
  <c r="J249" i="3" s="1"/>
  <c r="I133" i="3"/>
  <c r="I249" i="3" s="1"/>
  <c r="H133" i="3"/>
  <c r="H249" i="3" s="1"/>
  <c r="B133" i="3"/>
  <c r="B249" i="3" s="1"/>
  <c r="J123" i="3"/>
  <c r="I123" i="3"/>
  <c r="I128" i="3" s="1"/>
  <c r="H123" i="3"/>
  <c r="J117" i="3"/>
  <c r="I117" i="3"/>
  <c r="H117" i="3"/>
  <c r="H128" i="3" s="1"/>
  <c r="K110" i="3"/>
  <c r="L110" i="3" s="1"/>
  <c r="M110" i="3" s="1"/>
  <c r="N110" i="3" s="1"/>
  <c r="O110" i="3" s="1"/>
  <c r="J107" i="3"/>
  <c r="J112" i="3" s="1"/>
  <c r="I107" i="3"/>
  <c r="I112" i="3" s="1"/>
  <c r="H107" i="3"/>
  <c r="H112" i="3" s="1"/>
  <c r="H101" i="3"/>
  <c r="K153" i="3" s="1"/>
  <c r="K188" i="3" s="1"/>
  <c r="K214" i="3" s="1"/>
  <c r="K238" i="3" s="1"/>
  <c r="J97" i="3"/>
  <c r="I97" i="3"/>
  <c r="H97" i="3"/>
  <c r="J91" i="3"/>
  <c r="K91" i="3" s="1"/>
  <c r="L91" i="3" s="1"/>
  <c r="M91" i="3" s="1"/>
  <c r="N91" i="3" s="1"/>
  <c r="O91" i="3" s="1"/>
  <c r="I91" i="3"/>
  <c r="H91" i="3"/>
  <c r="J89" i="3"/>
  <c r="I89" i="3"/>
  <c r="J66" i="3"/>
  <c r="J90" i="3" s="1"/>
  <c r="K90" i="3" s="1"/>
  <c r="L90" i="3" s="1"/>
  <c r="M90" i="3" s="1"/>
  <c r="N90" i="3" s="1"/>
  <c r="O90" i="3" s="1"/>
  <c r="I66" i="3"/>
  <c r="I90" i="3" s="1"/>
  <c r="H66" i="3"/>
  <c r="H90" i="3" s="1"/>
  <c r="K64" i="3"/>
  <c r="K63" i="3"/>
  <c r="K276" i="3" s="1"/>
  <c r="K36" i="3"/>
  <c r="J27" i="3"/>
  <c r="I27" i="3"/>
  <c r="H27" i="3"/>
  <c r="H25" i="3"/>
  <c r="B20" i="3"/>
  <c r="I130" i="4" l="1"/>
  <c r="J128" i="4"/>
  <c r="J130" i="4" s="1"/>
  <c r="J299" i="4"/>
  <c r="K299" i="4" s="1"/>
  <c r="L299" i="4" s="1"/>
  <c r="M299" i="4" s="1"/>
  <c r="N299" i="4" s="1"/>
  <c r="O299" i="4" s="1"/>
  <c r="K26" i="4"/>
  <c r="J26" i="4" s="1"/>
  <c r="I26" i="4" s="1"/>
  <c r="H26" i="4" s="1"/>
  <c r="K37" i="4"/>
  <c r="K196" i="4"/>
  <c r="K177" i="4"/>
  <c r="H68" i="4"/>
  <c r="H82" i="4" s="1"/>
  <c r="H84" i="4" s="1"/>
  <c r="H86" i="4" s="1"/>
  <c r="I90" i="4"/>
  <c r="M196" i="4"/>
  <c r="M177" i="4"/>
  <c r="N196" i="4"/>
  <c r="N177" i="4"/>
  <c r="I128" i="5"/>
  <c r="J128" i="5"/>
  <c r="H68" i="5"/>
  <c r="H82" i="5" s="1"/>
  <c r="H84" i="5" s="1"/>
  <c r="H86" i="5" s="1"/>
  <c r="H92" i="5" s="1"/>
  <c r="H148" i="5"/>
  <c r="I148" i="5"/>
  <c r="J148" i="5"/>
  <c r="M196" i="5"/>
  <c r="M177" i="5"/>
  <c r="J149" i="5"/>
  <c r="H112" i="5"/>
  <c r="K239" i="5"/>
  <c r="K37" i="5"/>
  <c r="I112" i="5"/>
  <c r="J144" i="5"/>
  <c r="I145" i="5"/>
  <c r="J145" i="5"/>
  <c r="H146" i="5"/>
  <c r="K26" i="3"/>
  <c r="J26" i="3" s="1"/>
  <c r="I26" i="3" s="1"/>
  <c r="H26" i="3" s="1"/>
  <c r="K37" i="3"/>
  <c r="N192" i="3"/>
  <c r="N196" i="3" s="1"/>
  <c r="I143" i="3"/>
  <c r="K154" i="3"/>
  <c r="L63" i="3"/>
  <c r="M63" i="3" s="1"/>
  <c r="J128" i="3"/>
  <c r="J130" i="3" s="1"/>
  <c r="H299" i="3"/>
  <c r="I299" i="3"/>
  <c r="L91" i="4"/>
  <c r="M91" i="4" s="1"/>
  <c r="N91" i="4" s="1"/>
  <c r="O91" i="4" s="1"/>
  <c r="K67" i="4"/>
  <c r="K135" i="4" s="1"/>
  <c r="K251" i="4" s="1"/>
  <c r="H130" i="4"/>
  <c r="L277" i="4"/>
  <c r="L279" i="4" s="1"/>
  <c r="H299" i="4"/>
  <c r="H144" i="4"/>
  <c r="J68" i="4"/>
  <c r="J82" i="4" s="1"/>
  <c r="J84" i="4" s="1"/>
  <c r="J86" i="4" s="1"/>
  <c r="I144" i="4"/>
  <c r="J144" i="4"/>
  <c r="H145" i="4"/>
  <c r="H146" i="4"/>
  <c r="H249" i="4"/>
  <c r="H260" i="4" s="1"/>
  <c r="H250" i="4"/>
  <c r="L308" i="4"/>
  <c r="L311" i="4" s="1"/>
  <c r="J63" i="5"/>
  <c r="J266" i="5" s="1"/>
  <c r="H145" i="5"/>
  <c r="L63" i="5"/>
  <c r="L37" i="5" s="1"/>
  <c r="L64" i="5"/>
  <c r="H149" i="5"/>
  <c r="I149" i="5"/>
  <c r="K276" i="5"/>
  <c r="K192" i="5"/>
  <c r="H130" i="5"/>
  <c r="L192" i="5"/>
  <c r="K284" i="5"/>
  <c r="I130" i="5"/>
  <c r="J112" i="5"/>
  <c r="J130" i="5" s="1"/>
  <c r="N192" i="5"/>
  <c r="K215" i="5"/>
  <c r="K102" i="5"/>
  <c r="H138" i="5"/>
  <c r="K26" i="5"/>
  <c r="J26" i="5" s="1"/>
  <c r="I26" i="5" s="1"/>
  <c r="H26" i="5" s="1"/>
  <c r="J140" i="5"/>
  <c r="H71" i="5"/>
  <c r="H73" i="5" s="1"/>
  <c r="H76" i="5" s="1"/>
  <c r="H141" i="5"/>
  <c r="K230" i="5"/>
  <c r="I143" i="5"/>
  <c r="H144" i="5"/>
  <c r="I144" i="5"/>
  <c r="L91" i="5"/>
  <c r="M91" i="5" s="1"/>
  <c r="N91" i="5" s="1"/>
  <c r="O91" i="5" s="1"/>
  <c r="K67" i="5"/>
  <c r="K135" i="5" s="1"/>
  <c r="K251" i="5" s="1"/>
  <c r="K66" i="5"/>
  <c r="K134" i="5"/>
  <c r="I260" i="5"/>
  <c r="I259" i="5"/>
  <c r="I271" i="5"/>
  <c r="J260" i="5"/>
  <c r="J259" i="5"/>
  <c r="J271" i="5"/>
  <c r="K271" i="5" s="1"/>
  <c r="H260" i="5"/>
  <c r="H259" i="5"/>
  <c r="H271" i="5"/>
  <c r="H265" i="5"/>
  <c r="H275" i="5"/>
  <c r="H283" i="5"/>
  <c r="H293" i="5"/>
  <c r="H253" i="5"/>
  <c r="L277" i="5"/>
  <c r="L279" i="5" s="1"/>
  <c r="K133" i="5"/>
  <c r="K266" i="5"/>
  <c r="O192" i="5"/>
  <c r="I68" i="5"/>
  <c r="I138" i="5"/>
  <c r="K154" i="5"/>
  <c r="H250" i="5"/>
  <c r="J68" i="5"/>
  <c r="J138" i="5"/>
  <c r="I146" i="5"/>
  <c r="I250" i="5"/>
  <c r="K254" i="5"/>
  <c r="J294" i="5"/>
  <c r="H139" i="5"/>
  <c r="J146" i="5"/>
  <c r="J250" i="5"/>
  <c r="K294" i="5"/>
  <c r="J139" i="5"/>
  <c r="K189" i="5"/>
  <c r="H140" i="5"/>
  <c r="I140" i="5"/>
  <c r="I141" i="5"/>
  <c r="J141" i="5"/>
  <c r="L126" i="4"/>
  <c r="M277" i="4"/>
  <c r="M279" i="4" s="1"/>
  <c r="H265" i="4"/>
  <c r="H275" i="4"/>
  <c r="H283" i="4"/>
  <c r="H293" i="4"/>
  <c r="H253" i="4"/>
  <c r="H92" i="4"/>
  <c r="K122" i="4"/>
  <c r="L228" i="4"/>
  <c r="K232" i="4"/>
  <c r="K233" i="4" s="1"/>
  <c r="J93" i="4"/>
  <c r="J92" i="4"/>
  <c r="I260" i="4"/>
  <c r="I259" i="4"/>
  <c r="I271" i="4"/>
  <c r="N307" i="4"/>
  <c r="M308" i="4"/>
  <c r="M311" i="4" s="1"/>
  <c r="I93" i="4"/>
  <c r="I92" i="4"/>
  <c r="J260" i="4"/>
  <c r="J259" i="4"/>
  <c r="J271" i="4"/>
  <c r="K271" i="4" s="1"/>
  <c r="K133" i="4"/>
  <c r="L192" i="4"/>
  <c r="K266" i="4"/>
  <c r="L64" i="4"/>
  <c r="I71" i="4"/>
  <c r="I145" i="4"/>
  <c r="K315" i="4"/>
  <c r="J71" i="4"/>
  <c r="K102" i="4"/>
  <c r="J145" i="4"/>
  <c r="O192" i="4"/>
  <c r="K65" i="4"/>
  <c r="K134" i="4" s="1"/>
  <c r="J138" i="4"/>
  <c r="I146" i="4"/>
  <c r="I250" i="4"/>
  <c r="K254" i="4"/>
  <c r="J146" i="4"/>
  <c r="J250" i="4"/>
  <c r="K294" i="4"/>
  <c r="I139" i="4"/>
  <c r="H148" i="4"/>
  <c r="H149" i="4" s="1"/>
  <c r="J139" i="4"/>
  <c r="I148" i="4"/>
  <c r="I149" i="4" s="1"/>
  <c r="K189" i="4"/>
  <c r="H140" i="4"/>
  <c r="J148" i="4"/>
  <c r="J149" i="4" s="1"/>
  <c r="K239" i="4"/>
  <c r="K154" i="4"/>
  <c r="I140" i="4"/>
  <c r="H259" i="4"/>
  <c r="J140" i="4"/>
  <c r="K215" i="4"/>
  <c r="K284" i="4"/>
  <c r="I138" i="4"/>
  <c r="K276" i="4"/>
  <c r="I141" i="4"/>
  <c r="J63" i="4"/>
  <c r="J141" i="4"/>
  <c r="L63" i="4"/>
  <c r="L37" i="4" s="1"/>
  <c r="K67" i="3"/>
  <c r="K135" i="3" s="1"/>
  <c r="K251" i="3" s="1"/>
  <c r="K307" i="3"/>
  <c r="H130" i="3"/>
  <c r="I130" i="3"/>
  <c r="H138" i="3"/>
  <c r="J141" i="3"/>
  <c r="K126" i="3"/>
  <c r="L277" i="3"/>
  <c r="L279" i="3" s="1"/>
  <c r="L126" i="3" s="1"/>
  <c r="J68" i="3"/>
  <c r="H144" i="3"/>
  <c r="I28" i="3"/>
  <c r="I144" i="3"/>
  <c r="H145" i="3"/>
  <c r="J28" i="3"/>
  <c r="H146" i="3"/>
  <c r="I68" i="3"/>
  <c r="I82" i="3" s="1"/>
  <c r="I84" i="3" s="1"/>
  <c r="I86" i="3" s="1"/>
  <c r="I29" i="3" s="1"/>
  <c r="I30" i="3" s="1"/>
  <c r="L26" i="3"/>
  <c r="I148" i="3"/>
  <c r="I149" i="3" s="1"/>
  <c r="L37" i="3"/>
  <c r="J63" i="3"/>
  <c r="I63" i="3" s="1"/>
  <c r="I266" i="3" s="1"/>
  <c r="L312" i="3"/>
  <c r="L307" i="3" s="1"/>
  <c r="H265" i="3"/>
  <c r="H275" i="3"/>
  <c r="H283" i="3"/>
  <c r="H293" i="3"/>
  <c r="H253" i="3"/>
  <c r="H260" i="3"/>
  <c r="H259" i="3"/>
  <c r="H271" i="3"/>
  <c r="I260" i="3"/>
  <c r="I259" i="3"/>
  <c r="I271" i="3"/>
  <c r="J260" i="3"/>
  <c r="J259" i="3"/>
  <c r="J271" i="3"/>
  <c r="K271" i="3" s="1"/>
  <c r="K232" i="3"/>
  <c r="K233" i="3" s="1"/>
  <c r="K122" i="3"/>
  <c r="K50" i="3" s="1"/>
  <c r="L228" i="3"/>
  <c r="N311" i="3"/>
  <c r="M312" i="3"/>
  <c r="M307" i="3" s="1"/>
  <c r="M276" i="3"/>
  <c r="M284" i="3"/>
  <c r="M215" i="3"/>
  <c r="M239" i="3"/>
  <c r="M37" i="3"/>
  <c r="M189" i="3"/>
  <c r="M294" i="3"/>
  <c r="M254" i="3"/>
  <c r="N63" i="3"/>
  <c r="M154" i="3"/>
  <c r="M102" i="3"/>
  <c r="M266" i="3"/>
  <c r="M26" i="3"/>
  <c r="K133" i="3"/>
  <c r="J144" i="3"/>
  <c r="K266" i="3"/>
  <c r="L64" i="3"/>
  <c r="L266" i="3"/>
  <c r="I145" i="3"/>
  <c r="K315" i="3"/>
  <c r="H68" i="3"/>
  <c r="K102" i="3"/>
  <c r="J145" i="3"/>
  <c r="O192" i="3"/>
  <c r="O196" i="3" s="1"/>
  <c r="L102" i="3"/>
  <c r="I138" i="3"/>
  <c r="H250" i="3"/>
  <c r="K27" i="3"/>
  <c r="K28" i="3" s="1"/>
  <c r="K65" i="3"/>
  <c r="K134" i="3" s="1"/>
  <c r="J138" i="3"/>
  <c r="I146" i="3"/>
  <c r="L154" i="3"/>
  <c r="I250" i="3"/>
  <c r="K254" i="3"/>
  <c r="H139" i="3"/>
  <c r="J146" i="3"/>
  <c r="J250" i="3"/>
  <c r="L254" i="3"/>
  <c r="K294" i="3"/>
  <c r="H148" i="3"/>
  <c r="H149" i="3" s="1"/>
  <c r="L294" i="3"/>
  <c r="J139" i="3"/>
  <c r="K189" i="3"/>
  <c r="H140" i="3"/>
  <c r="J148" i="3"/>
  <c r="J149" i="3" s="1"/>
  <c r="L189" i="3"/>
  <c r="K239" i="3"/>
  <c r="I140" i="3"/>
  <c r="L239" i="3"/>
  <c r="J140" i="3"/>
  <c r="K215" i="3"/>
  <c r="K284" i="3"/>
  <c r="H141" i="3"/>
  <c r="L215" i="3"/>
  <c r="L284" i="3"/>
  <c r="I141" i="3"/>
  <c r="L276" i="3"/>
  <c r="L196" i="4" l="1"/>
  <c r="L177" i="4"/>
  <c r="O196" i="4"/>
  <c r="O177" i="4"/>
  <c r="H71" i="4"/>
  <c r="L67" i="5"/>
  <c r="L135" i="5" s="1"/>
  <c r="L251" i="5" s="1"/>
  <c r="J254" i="5"/>
  <c r="L154" i="5"/>
  <c r="N196" i="5"/>
  <c r="N177" i="5"/>
  <c r="L239" i="5"/>
  <c r="H96" i="5"/>
  <c r="L189" i="5"/>
  <c r="L294" i="5"/>
  <c r="O196" i="5"/>
  <c r="O177" i="5"/>
  <c r="L196" i="5"/>
  <c r="L177" i="5"/>
  <c r="L26" i="5"/>
  <c r="H79" i="5"/>
  <c r="K196" i="5"/>
  <c r="K177" i="5"/>
  <c r="L254" i="5"/>
  <c r="H286" i="5"/>
  <c r="H289" i="5" s="1"/>
  <c r="L102" i="5"/>
  <c r="L65" i="5"/>
  <c r="L134" i="5" s="1"/>
  <c r="L105" i="5" s="1"/>
  <c r="L133" i="5"/>
  <c r="L111" i="5" s="1"/>
  <c r="M64" i="5"/>
  <c r="J254" i="3"/>
  <c r="H271" i="4"/>
  <c r="K68" i="5"/>
  <c r="M63" i="5"/>
  <c r="M37" i="5" s="1"/>
  <c r="L215" i="5"/>
  <c r="L284" i="5"/>
  <c r="L276" i="5"/>
  <c r="L266" i="5"/>
  <c r="L228" i="5"/>
  <c r="K122" i="5"/>
  <c r="J284" i="5"/>
  <c r="J276" i="5"/>
  <c r="I63" i="5"/>
  <c r="J102" i="5"/>
  <c r="K232" i="5"/>
  <c r="K233" i="5" s="1"/>
  <c r="I82" i="5"/>
  <c r="I84" i="5" s="1"/>
  <c r="I86" i="5" s="1"/>
  <c r="I71" i="5"/>
  <c r="K104" i="5"/>
  <c r="K116" i="5"/>
  <c r="K166" i="5" s="1"/>
  <c r="K106" i="5"/>
  <c r="K111" i="5"/>
  <c r="K119" i="5"/>
  <c r="K167" i="5" s="1"/>
  <c r="K249" i="5"/>
  <c r="K269" i="5" s="1"/>
  <c r="L271" i="5"/>
  <c r="L126" i="5"/>
  <c r="M277" i="5"/>
  <c r="M279" i="5" s="1"/>
  <c r="L104" i="5"/>
  <c r="L116" i="5"/>
  <c r="L106" i="5"/>
  <c r="L249" i="5"/>
  <c r="J82" i="5"/>
  <c r="J84" i="5" s="1"/>
  <c r="J86" i="5" s="1"/>
  <c r="J71" i="5"/>
  <c r="M65" i="5"/>
  <c r="M134" i="5" s="1"/>
  <c r="N64" i="5"/>
  <c r="M133" i="5"/>
  <c r="M67" i="5"/>
  <c r="M135" i="5" s="1"/>
  <c r="M251" i="5" s="1"/>
  <c r="K82" i="5"/>
  <c r="K250" i="5"/>
  <c r="K115" i="5"/>
  <c r="K165" i="5" s="1"/>
  <c r="K105" i="5"/>
  <c r="K114" i="5"/>
  <c r="K104" i="4"/>
  <c r="K116" i="4"/>
  <c r="K166" i="4" s="1"/>
  <c r="K111" i="4"/>
  <c r="K106" i="4"/>
  <c r="K119" i="4"/>
  <c r="K167" i="4" s="1"/>
  <c r="K249" i="4"/>
  <c r="K269" i="4" s="1"/>
  <c r="L230" i="4"/>
  <c r="L232" i="4"/>
  <c r="L233" i="4" s="1"/>
  <c r="I63" i="4"/>
  <c r="J276" i="4"/>
  <c r="J284" i="4"/>
  <c r="J294" i="4"/>
  <c r="J254" i="4"/>
  <c r="J102" i="4"/>
  <c r="J266" i="4"/>
  <c r="L271" i="4"/>
  <c r="K66" i="4"/>
  <c r="K68" i="4" s="1"/>
  <c r="K115" i="4"/>
  <c r="K165" i="4" s="1"/>
  <c r="K105" i="4"/>
  <c r="K250" i="4"/>
  <c r="K114" i="4"/>
  <c r="J73" i="4"/>
  <c r="J96" i="4"/>
  <c r="O307" i="4"/>
  <c r="O308" i="4" s="1"/>
  <c r="O311" i="4" s="1"/>
  <c r="N308" i="4"/>
  <c r="N311" i="4" s="1"/>
  <c r="I73" i="4"/>
  <c r="I96" i="4"/>
  <c r="L65" i="4"/>
  <c r="L134" i="4" s="1"/>
  <c r="M64" i="4"/>
  <c r="L133" i="4"/>
  <c r="L67" i="4"/>
  <c r="L135" i="4" s="1"/>
  <c r="L251" i="4" s="1"/>
  <c r="M126" i="4"/>
  <c r="N277" i="4"/>
  <c r="N279" i="4" s="1"/>
  <c r="M63" i="4"/>
  <c r="M37" i="4" s="1"/>
  <c r="L26" i="4"/>
  <c r="L276" i="4"/>
  <c r="L284" i="4"/>
  <c r="L215" i="4"/>
  <c r="L239" i="4"/>
  <c r="L189" i="4"/>
  <c r="L294" i="4"/>
  <c r="L102" i="4"/>
  <c r="L254" i="4"/>
  <c r="L154" i="4"/>
  <c r="L266" i="4"/>
  <c r="M277" i="3"/>
  <c r="M279" i="3" s="1"/>
  <c r="M126" i="3" s="1"/>
  <c r="I71" i="3"/>
  <c r="I96" i="3" s="1"/>
  <c r="I102" i="3"/>
  <c r="J294" i="3"/>
  <c r="I254" i="3"/>
  <c r="J276" i="3"/>
  <c r="I294" i="3"/>
  <c r="I284" i="3"/>
  <c r="J102" i="3"/>
  <c r="I276" i="3"/>
  <c r="J284" i="3"/>
  <c r="H63" i="3"/>
  <c r="H102" i="3" s="1"/>
  <c r="J266" i="3"/>
  <c r="I92" i="3"/>
  <c r="J71" i="3"/>
  <c r="J82" i="3"/>
  <c r="J84" i="3" s="1"/>
  <c r="J86" i="3" s="1"/>
  <c r="H266" i="3"/>
  <c r="H276" i="3"/>
  <c r="H284" i="3"/>
  <c r="H294" i="3"/>
  <c r="H254" i="3"/>
  <c r="K104" i="3"/>
  <c r="K116" i="3"/>
  <c r="K166" i="3" s="1"/>
  <c r="K249" i="3"/>
  <c r="K111" i="3"/>
  <c r="K106" i="3"/>
  <c r="K119" i="3"/>
  <c r="K167" i="3" s="1"/>
  <c r="K66" i="3"/>
  <c r="K68" i="3" s="1"/>
  <c r="N276" i="3"/>
  <c r="N284" i="3"/>
  <c r="N215" i="3"/>
  <c r="N239" i="3"/>
  <c r="N37" i="3"/>
  <c r="N189" i="3"/>
  <c r="N294" i="3"/>
  <c r="N254" i="3"/>
  <c r="N154" i="3"/>
  <c r="N102" i="3"/>
  <c r="N266" i="3"/>
  <c r="N26" i="3"/>
  <c r="O63" i="3"/>
  <c r="O311" i="3"/>
  <c r="O312" i="3" s="1"/>
  <c r="O307" i="3" s="1"/>
  <c r="N312" i="3"/>
  <c r="N307" i="3" s="1"/>
  <c r="L230" i="3"/>
  <c r="L232" i="3"/>
  <c r="L233" i="3" s="1"/>
  <c r="K250" i="3"/>
  <c r="K105" i="3"/>
  <c r="K115" i="3"/>
  <c r="K165" i="3" s="1"/>
  <c r="K114" i="3"/>
  <c r="H82" i="3"/>
  <c r="H84" i="3" s="1"/>
  <c r="H86" i="3" s="1"/>
  <c r="H71" i="3"/>
  <c r="L271" i="3"/>
  <c r="L27" i="3"/>
  <c r="L28" i="3" s="1"/>
  <c r="L65" i="3"/>
  <c r="L134" i="3" s="1"/>
  <c r="M64" i="3"/>
  <c r="L133" i="3"/>
  <c r="L67" i="3"/>
  <c r="L135" i="3" s="1"/>
  <c r="L251" i="3" s="1"/>
  <c r="H73" i="4" l="1"/>
  <c r="H96" i="4"/>
  <c r="L250" i="5"/>
  <c r="L115" i="5"/>
  <c r="L114" i="5"/>
  <c r="L66" i="5"/>
  <c r="L68" i="5" s="1"/>
  <c r="L119" i="5"/>
  <c r="L167" i="5" s="1"/>
  <c r="I73" i="3"/>
  <c r="L230" i="5"/>
  <c r="L232" i="5"/>
  <c r="L233" i="5" s="1"/>
  <c r="M154" i="5"/>
  <c r="M26" i="5"/>
  <c r="N63" i="5"/>
  <c r="N37" i="5" s="1"/>
  <c r="M102" i="5"/>
  <c r="M189" i="5"/>
  <c r="M254" i="5"/>
  <c r="M266" i="5"/>
  <c r="M294" i="5"/>
  <c r="M284" i="5"/>
  <c r="M239" i="5"/>
  <c r="M276" i="5"/>
  <c r="M215" i="5"/>
  <c r="I276" i="5"/>
  <c r="H63" i="5"/>
  <c r="I102" i="5"/>
  <c r="I284" i="5"/>
  <c r="I266" i="5"/>
  <c r="I254" i="5"/>
  <c r="I294" i="5"/>
  <c r="L166" i="5"/>
  <c r="M116" i="5"/>
  <c r="M166" i="5" s="1"/>
  <c r="M104" i="5"/>
  <c r="M160" i="5" s="1"/>
  <c r="M111" i="5"/>
  <c r="M106" i="5"/>
  <c r="M119" i="5"/>
  <c r="M249" i="5"/>
  <c r="K117" i="5"/>
  <c r="K164" i="5"/>
  <c r="N65" i="5"/>
  <c r="N134" i="5" s="1"/>
  <c r="N133" i="5"/>
  <c r="O64" i="5"/>
  <c r="N67" i="5"/>
  <c r="N135" i="5" s="1"/>
  <c r="N251" i="5" s="1"/>
  <c r="M250" i="5"/>
  <c r="M114" i="5"/>
  <c r="M115" i="5"/>
  <c r="M165" i="5" s="1"/>
  <c r="M105" i="5"/>
  <c r="L256" i="5"/>
  <c r="L173" i="5" s="1"/>
  <c r="L174" i="5" s="1"/>
  <c r="L257" i="5"/>
  <c r="L156" i="5" s="1"/>
  <c r="L83" i="5" s="1"/>
  <c r="L97" i="5" s="1"/>
  <c r="M66" i="5"/>
  <c r="M68" i="5" s="1"/>
  <c r="M271" i="5"/>
  <c r="L269" i="5"/>
  <c r="J73" i="5"/>
  <c r="J96" i="5"/>
  <c r="K157" i="5"/>
  <c r="K270" i="5"/>
  <c r="M126" i="5"/>
  <c r="N277" i="5"/>
  <c r="N279" i="5" s="1"/>
  <c r="L161" i="5"/>
  <c r="K161" i="5"/>
  <c r="J93" i="5"/>
  <c r="J92" i="5"/>
  <c r="K256" i="5"/>
  <c r="K257" i="5"/>
  <c r="K156" i="5" s="1"/>
  <c r="K83" i="5" s="1"/>
  <c r="K97" i="5" s="1"/>
  <c r="K162" i="5"/>
  <c r="L162" i="5"/>
  <c r="L165" i="5"/>
  <c r="L160" i="5"/>
  <c r="K160" i="5"/>
  <c r="L164" i="5"/>
  <c r="L117" i="5"/>
  <c r="I73" i="5"/>
  <c r="I96" i="5"/>
  <c r="L163" i="5"/>
  <c r="K163" i="5"/>
  <c r="L82" i="5"/>
  <c r="L84" i="5" s="1"/>
  <c r="L86" i="5" s="1"/>
  <c r="I93" i="5"/>
  <c r="I92" i="5"/>
  <c r="M271" i="4"/>
  <c r="L104" i="4"/>
  <c r="L160" i="4" s="1"/>
  <c r="L106" i="4"/>
  <c r="L162" i="4" s="1"/>
  <c r="L116" i="4"/>
  <c r="L166" i="4" s="1"/>
  <c r="L111" i="4"/>
  <c r="L163" i="4" s="1"/>
  <c r="L119" i="4"/>
  <c r="L167" i="4" s="1"/>
  <c r="L249" i="4"/>
  <c r="K270" i="4"/>
  <c r="K302" i="4"/>
  <c r="K157" i="4"/>
  <c r="K161" i="4"/>
  <c r="L250" i="4"/>
  <c r="L115" i="4"/>
  <c r="L165" i="4" s="1"/>
  <c r="L114" i="4"/>
  <c r="L105" i="4"/>
  <c r="L161" i="4" s="1"/>
  <c r="L122" i="4"/>
  <c r="M228" i="4"/>
  <c r="N63" i="4"/>
  <c r="N37" i="4" s="1"/>
  <c r="M276" i="4"/>
  <c r="M284" i="4"/>
  <c r="M215" i="4"/>
  <c r="M239" i="4"/>
  <c r="M189" i="4"/>
  <c r="M294" i="4"/>
  <c r="M254" i="4"/>
  <c r="M154" i="4"/>
  <c r="M102" i="4"/>
  <c r="M266" i="4"/>
  <c r="M26" i="4"/>
  <c r="K256" i="4"/>
  <c r="K257" i="4"/>
  <c r="K156" i="4" s="1"/>
  <c r="K83" i="4" s="1"/>
  <c r="K97" i="4" s="1"/>
  <c r="M65" i="4"/>
  <c r="M134" i="4" s="1"/>
  <c r="N64" i="4"/>
  <c r="M133" i="4"/>
  <c r="M67" i="4"/>
  <c r="M135" i="4" s="1"/>
  <c r="M251" i="4" s="1"/>
  <c r="H63" i="4"/>
  <c r="I276" i="4"/>
  <c r="I284" i="4"/>
  <c r="I294" i="4"/>
  <c r="I254" i="4"/>
  <c r="I102" i="4"/>
  <c r="I266" i="4"/>
  <c r="K82" i="4"/>
  <c r="I94" i="4"/>
  <c r="I295" i="4"/>
  <c r="I76" i="4"/>
  <c r="I286" i="4"/>
  <c r="I289" i="4" s="1"/>
  <c r="I79" i="4"/>
  <c r="K162" i="4"/>
  <c r="J94" i="4"/>
  <c r="J295" i="4"/>
  <c r="J76" i="4"/>
  <c r="J286" i="4"/>
  <c r="J289" i="4" s="1"/>
  <c r="J79" i="4"/>
  <c r="K117" i="4"/>
  <c r="K164" i="4"/>
  <c r="N126" i="4"/>
  <c r="O277" i="4"/>
  <c r="O279" i="4" s="1"/>
  <c r="O126" i="4" s="1"/>
  <c r="L66" i="4"/>
  <c r="L68" i="4" s="1"/>
  <c r="K163" i="4"/>
  <c r="K160" i="4"/>
  <c r="N277" i="3"/>
  <c r="N279" i="3" s="1"/>
  <c r="O277" i="3" s="1"/>
  <c r="O279" i="3" s="1"/>
  <c r="O126" i="3" s="1"/>
  <c r="J93" i="3"/>
  <c r="J92" i="3"/>
  <c r="J29" i="3"/>
  <c r="J30" i="3" s="1"/>
  <c r="J73" i="3"/>
  <c r="J96" i="3"/>
  <c r="L104" i="3"/>
  <c r="L116" i="3"/>
  <c r="L166" i="3" s="1"/>
  <c r="L111" i="3"/>
  <c r="L163" i="3" s="1"/>
  <c r="L106" i="3"/>
  <c r="L119" i="3"/>
  <c r="L167" i="3" s="1"/>
  <c r="L249" i="3"/>
  <c r="L66" i="3"/>
  <c r="L68" i="3" s="1"/>
  <c r="K117" i="3"/>
  <c r="K164" i="3"/>
  <c r="L160" i="3"/>
  <c r="K160" i="3"/>
  <c r="K163" i="3"/>
  <c r="H29" i="3"/>
  <c r="H30" i="3" s="1"/>
  <c r="H92" i="3"/>
  <c r="I93" i="3"/>
  <c r="L122" i="3"/>
  <c r="L50" i="3" s="1"/>
  <c r="M228" i="3"/>
  <c r="K162" i="3"/>
  <c r="K82" i="3"/>
  <c r="K256" i="3"/>
  <c r="K257" i="3"/>
  <c r="K156" i="3" s="1"/>
  <c r="K83" i="3" s="1"/>
  <c r="K97" i="3" s="1"/>
  <c r="K161" i="3"/>
  <c r="O276" i="3"/>
  <c r="O284" i="3"/>
  <c r="O215" i="3"/>
  <c r="O239" i="3"/>
  <c r="O37" i="3"/>
  <c r="O189" i="3"/>
  <c r="O294" i="3"/>
  <c r="O254" i="3"/>
  <c r="O154" i="3"/>
  <c r="O102" i="3"/>
  <c r="O266" i="3"/>
  <c r="O26" i="3"/>
  <c r="M271" i="3"/>
  <c r="L250" i="3"/>
  <c r="L115" i="3"/>
  <c r="L165" i="3" s="1"/>
  <c r="L114" i="3"/>
  <c r="L105" i="3"/>
  <c r="L161" i="3" s="1"/>
  <c r="K269" i="3"/>
  <c r="M65" i="3"/>
  <c r="M134" i="3" s="1"/>
  <c r="M27" i="3"/>
  <c r="M28" i="3" s="1"/>
  <c r="N64" i="3"/>
  <c r="M133" i="3"/>
  <c r="M67" i="3"/>
  <c r="M135" i="3" s="1"/>
  <c r="M251" i="3" s="1"/>
  <c r="I295" i="3"/>
  <c r="I76" i="3"/>
  <c r="I286" i="3"/>
  <c r="I289" i="3" s="1"/>
  <c r="I79" i="3"/>
  <c r="H73" i="3"/>
  <c r="H96" i="3"/>
  <c r="H295" i="4" l="1"/>
  <c r="H76" i="4"/>
  <c r="H286" i="4"/>
  <c r="H289" i="4" s="1"/>
  <c r="H79" i="4"/>
  <c r="I95" i="4" s="1"/>
  <c r="M167" i="5"/>
  <c r="H266" i="5"/>
  <c r="H284" i="5"/>
  <c r="H276" i="5"/>
  <c r="H102" i="5"/>
  <c r="H294" i="5"/>
  <c r="H254" i="5"/>
  <c r="N239" i="5"/>
  <c r="N284" i="5"/>
  <c r="N102" i="5"/>
  <c r="N276" i="5"/>
  <c r="N215" i="5"/>
  <c r="N154" i="5"/>
  <c r="O63" i="5"/>
  <c r="O37" i="5" s="1"/>
  <c r="N189" i="5"/>
  <c r="N254" i="5"/>
  <c r="N294" i="5"/>
  <c r="N26" i="5"/>
  <c r="N266" i="5"/>
  <c r="M228" i="5"/>
  <c r="L122" i="5"/>
  <c r="O65" i="5"/>
  <c r="O134" i="5" s="1"/>
  <c r="O67" i="5"/>
  <c r="O135" i="5" s="1"/>
  <c r="O251" i="5" s="1"/>
  <c r="O133" i="5"/>
  <c r="I94" i="5"/>
  <c r="I76" i="5"/>
  <c r="I79" i="5"/>
  <c r="I95" i="5" s="1"/>
  <c r="I286" i="5"/>
  <c r="I289" i="5" s="1"/>
  <c r="N116" i="5"/>
  <c r="N166" i="5" s="1"/>
  <c r="N104" i="5"/>
  <c r="N111" i="5"/>
  <c r="N163" i="5" s="1"/>
  <c r="N106" i="5"/>
  <c r="N119" i="5"/>
  <c r="N167" i="5" s="1"/>
  <c r="N249" i="5"/>
  <c r="N250" i="5"/>
  <c r="N114" i="5"/>
  <c r="N115" i="5"/>
  <c r="N165" i="5" s="1"/>
  <c r="N105" i="5"/>
  <c r="M164" i="5"/>
  <c r="M117" i="5"/>
  <c r="N126" i="5"/>
  <c r="O277" i="5"/>
  <c r="O279" i="5" s="1"/>
  <c r="O126" i="5" s="1"/>
  <c r="N66" i="5"/>
  <c r="N68" i="5" s="1"/>
  <c r="L267" i="5"/>
  <c r="L270" i="5" s="1"/>
  <c r="K125" i="5"/>
  <c r="K173" i="5"/>
  <c r="K174" i="5" s="1"/>
  <c r="K258" i="5"/>
  <c r="M161" i="5"/>
  <c r="L157" i="5"/>
  <c r="M256" i="5"/>
  <c r="M173" i="5" s="1"/>
  <c r="M174" i="5" s="1"/>
  <c r="M257" i="5"/>
  <c r="M156" i="5" s="1"/>
  <c r="M83" i="5" s="1"/>
  <c r="M97" i="5" s="1"/>
  <c r="J94" i="5"/>
  <c r="J76" i="5"/>
  <c r="J79" i="5"/>
  <c r="J286" i="5"/>
  <c r="J289" i="5" s="1"/>
  <c r="M269" i="5"/>
  <c r="N271" i="5"/>
  <c r="L92" i="5"/>
  <c r="K84" i="5"/>
  <c r="K86" i="5" s="1"/>
  <c r="K168" i="5"/>
  <c r="M82" i="5"/>
  <c r="M163" i="5"/>
  <c r="L168" i="5"/>
  <c r="M162" i="5"/>
  <c r="M250" i="4"/>
  <c r="M115" i="4"/>
  <c r="M165" i="4" s="1"/>
  <c r="M114" i="4"/>
  <c r="M105" i="4"/>
  <c r="M161" i="4" s="1"/>
  <c r="N276" i="4"/>
  <c r="N284" i="4"/>
  <c r="N215" i="4"/>
  <c r="N239" i="4"/>
  <c r="N189" i="4"/>
  <c r="N294" i="4"/>
  <c r="N26" i="4"/>
  <c r="N254" i="4"/>
  <c r="N154" i="4"/>
  <c r="N102" i="4"/>
  <c r="N266" i="4"/>
  <c r="O63" i="4"/>
  <c r="O37" i="4" s="1"/>
  <c r="M230" i="4"/>
  <c r="M232" i="4" s="1"/>
  <c r="M233" i="4" s="1"/>
  <c r="K304" i="4"/>
  <c r="K310" i="4"/>
  <c r="K312" i="4" s="1"/>
  <c r="K316" i="4" s="1"/>
  <c r="K317" i="4" s="1"/>
  <c r="L267" i="4"/>
  <c r="K125" i="4"/>
  <c r="M66" i="4"/>
  <c r="M68" i="4" s="1"/>
  <c r="L256" i="4"/>
  <c r="L173" i="4" s="1"/>
  <c r="L257" i="4"/>
  <c r="L156" i="4" s="1"/>
  <c r="L83" i="4" s="1"/>
  <c r="L97" i="4" s="1"/>
  <c r="L82" i="4"/>
  <c r="M104" i="4"/>
  <c r="M160" i="4" s="1"/>
  <c r="M116" i="4"/>
  <c r="M166" i="4" s="1"/>
  <c r="M119" i="4"/>
  <c r="M167" i="4" s="1"/>
  <c r="M111" i="4"/>
  <c r="M163" i="4" s="1"/>
  <c r="M106" i="4"/>
  <c r="M249" i="4"/>
  <c r="L164" i="4"/>
  <c r="L168" i="4" s="1"/>
  <c r="L117" i="4"/>
  <c r="K258" i="4"/>
  <c r="K173" i="4"/>
  <c r="K168" i="4"/>
  <c r="N271" i="4"/>
  <c r="O64" i="4"/>
  <c r="N65" i="4"/>
  <c r="N134" i="4" s="1"/>
  <c r="N133" i="4"/>
  <c r="N67" i="4"/>
  <c r="N135" i="4" s="1"/>
  <c r="N251" i="4" s="1"/>
  <c r="K84" i="4"/>
  <c r="J95" i="4"/>
  <c r="H266" i="4"/>
  <c r="H276" i="4"/>
  <c r="H284" i="4"/>
  <c r="H294" i="4"/>
  <c r="H254" i="4"/>
  <c r="H102" i="4"/>
  <c r="L269" i="4"/>
  <c r="N126" i="3"/>
  <c r="J94" i="3"/>
  <c r="J286" i="3"/>
  <c r="J289" i="3" s="1"/>
  <c r="J295" i="3"/>
  <c r="J79" i="3"/>
  <c r="J95" i="3" s="1"/>
  <c r="J76" i="3"/>
  <c r="H295" i="3"/>
  <c r="H76" i="3"/>
  <c r="H286" i="3"/>
  <c r="H289" i="3" s="1"/>
  <c r="H79" i="3"/>
  <c r="M230" i="3"/>
  <c r="M232" i="3"/>
  <c r="M233" i="3" s="1"/>
  <c r="I95" i="3"/>
  <c r="K168" i="3"/>
  <c r="K41" i="3" s="1"/>
  <c r="L82" i="3"/>
  <c r="M104" i="3"/>
  <c r="M116" i="3"/>
  <c r="M166" i="3" s="1"/>
  <c r="M111" i="3"/>
  <c r="M163" i="3" s="1"/>
  <c r="M106" i="3"/>
  <c r="M162" i="3" s="1"/>
  <c r="M119" i="3"/>
  <c r="M167" i="3" s="1"/>
  <c r="M249" i="3"/>
  <c r="L256" i="3"/>
  <c r="L173" i="3" s="1"/>
  <c r="L257" i="3"/>
  <c r="L156" i="3" s="1"/>
  <c r="L83" i="3" s="1"/>
  <c r="L97" i="3" s="1"/>
  <c r="N27" i="3"/>
  <c r="N28" i="3" s="1"/>
  <c r="N65" i="3"/>
  <c r="N134" i="3" s="1"/>
  <c r="O64" i="3"/>
  <c r="N133" i="3"/>
  <c r="N67" i="3"/>
  <c r="N135" i="3" s="1"/>
  <c r="N251" i="3" s="1"/>
  <c r="K258" i="3"/>
  <c r="K173" i="3"/>
  <c r="I94" i="3"/>
  <c r="M250" i="3"/>
  <c r="M115" i="3"/>
  <c r="M165" i="3" s="1"/>
  <c r="M114" i="3"/>
  <c r="M105" i="3"/>
  <c r="M66" i="3"/>
  <c r="M68" i="3" s="1"/>
  <c r="M161" i="3"/>
  <c r="N271" i="3"/>
  <c r="K84" i="3"/>
  <c r="L117" i="3"/>
  <c r="L164" i="3"/>
  <c r="L269" i="3"/>
  <c r="L162" i="3"/>
  <c r="L168" i="3" s="1"/>
  <c r="L41" i="3" s="1"/>
  <c r="K302" i="3"/>
  <c r="K157" i="3"/>
  <c r="K270" i="3"/>
  <c r="K38" i="3" l="1"/>
  <c r="L84" i="4"/>
  <c r="M230" i="5"/>
  <c r="M232" i="5"/>
  <c r="M233" i="5" s="1"/>
  <c r="O294" i="5"/>
  <c r="O102" i="5"/>
  <c r="O276" i="5"/>
  <c r="O284" i="5"/>
  <c r="O254" i="5"/>
  <c r="O266" i="5"/>
  <c r="O215" i="5"/>
  <c r="O154" i="5"/>
  <c r="O189" i="5"/>
  <c r="O239" i="5"/>
  <c r="O26" i="5"/>
  <c r="M168" i="5"/>
  <c r="N164" i="5"/>
  <c r="N117" i="5"/>
  <c r="N257" i="5"/>
  <c r="N156" i="5" s="1"/>
  <c r="N83" i="5" s="1"/>
  <c r="N97" i="5" s="1"/>
  <c r="N256" i="5"/>
  <c r="N173" i="5" s="1"/>
  <c r="N174" i="5" s="1"/>
  <c r="M84" i="5"/>
  <c r="M86" i="5" s="1"/>
  <c r="K93" i="5"/>
  <c r="K92" i="5"/>
  <c r="K109" i="5"/>
  <c r="L255" i="5"/>
  <c r="L258" i="5" s="1"/>
  <c r="L93" i="5"/>
  <c r="N269" i="5"/>
  <c r="O271" i="5"/>
  <c r="N162" i="5"/>
  <c r="M157" i="5"/>
  <c r="N82" i="5"/>
  <c r="O104" i="5"/>
  <c r="O160" i="5" s="1"/>
  <c r="O116" i="5"/>
  <c r="O166" i="5" s="1"/>
  <c r="O111" i="5"/>
  <c r="O163" i="5" s="1"/>
  <c r="O106" i="5"/>
  <c r="O162" i="5" s="1"/>
  <c r="O119" i="5"/>
  <c r="O167" i="5" s="1"/>
  <c r="O249" i="5"/>
  <c r="M267" i="5"/>
  <c r="M270" i="5" s="1"/>
  <c r="L125" i="5"/>
  <c r="O250" i="5"/>
  <c r="O114" i="5"/>
  <c r="O115" i="5"/>
  <c r="O165" i="5" s="1"/>
  <c r="O105" i="5"/>
  <c r="O161" i="5" s="1"/>
  <c r="O66" i="5"/>
  <c r="O68" i="5" s="1"/>
  <c r="N160" i="5"/>
  <c r="J95" i="5"/>
  <c r="N161" i="5"/>
  <c r="M122" i="4"/>
  <c r="N228" i="4"/>
  <c r="O276" i="4"/>
  <c r="O284" i="4"/>
  <c r="O215" i="4"/>
  <c r="O239" i="4"/>
  <c r="O189" i="4"/>
  <c r="O294" i="4"/>
  <c r="O254" i="4"/>
  <c r="O154" i="4"/>
  <c r="O102" i="4"/>
  <c r="O266" i="4"/>
  <c r="O26" i="4"/>
  <c r="K109" i="4"/>
  <c r="L255" i="4"/>
  <c r="L258" i="4" s="1"/>
  <c r="M256" i="4"/>
  <c r="M173" i="4" s="1"/>
  <c r="M257" i="4"/>
  <c r="M156" i="4" s="1"/>
  <c r="M83" i="4" s="1"/>
  <c r="M97" i="4" s="1"/>
  <c r="K174" i="4"/>
  <c r="K86" i="4"/>
  <c r="N104" i="4"/>
  <c r="N160" i="4" s="1"/>
  <c r="N116" i="4"/>
  <c r="N166" i="4" s="1"/>
  <c r="N111" i="4"/>
  <c r="N106" i="4"/>
  <c r="N162" i="4" s="1"/>
  <c r="N119" i="4"/>
  <c r="N167" i="4" s="1"/>
  <c r="N249" i="4"/>
  <c r="O133" i="4"/>
  <c r="O65" i="4"/>
  <c r="O134" i="4" s="1"/>
  <c r="O67" i="4"/>
  <c r="O135" i="4" s="1"/>
  <c r="O251" i="4" s="1"/>
  <c r="L86" i="4"/>
  <c r="N66" i="4"/>
  <c r="N68" i="4" s="1"/>
  <c r="N163" i="4"/>
  <c r="N269" i="4"/>
  <c r="O271" i="4"/>
  <c r="N250" i="4"/>
  <c r="N115" i="4"/>
  <c r="N165" i="4" s="1"/>
  <c r="N114" i="4"/>
  <c r="N105" i="4"/>
  <c r="N161" i="4" s="1"/>
  <c r="M269" i="4"/>
  <c r="L174" i="4"/>
  <c r="M82" i="4"/>
  <c r="M164" i="4"/>
  <c r="M117" i="4"/>
  <c r="L302" i="4"/>
  <c r="L157" i="4"/>
  <c r="L270" i="4"/>
  <c r="M162" i="4"/>
  <c r="M168" i="4" s="1"/>
  <c r="L315" i="4"/>
  <c r="K298" i="4"/>
  <c r="N66" i="3"/>
  <c r="N68" i="3" s="1"/>
  <c r="N82" i="3" s="1"/>
  <c r="L174" i="3"/>
  <c r="L33" i="3"/>
  <c r="M164" i="3"/>
  <c r="M117" i="3"/>
  <c r="M256" i="3"/>
  <c r="M173" i="3" s="1"/>
  <c r="M257" i="3"/>
  <c r="M156" i="3" s="1"/>
  <c r="M83" i="3" s="1"/>
  <c r="M97" i="3" s="1"/>
  <c r="L84" i="3"/>
  <c r="L38" i="3" s="1"/>
  <c r="M160" i="3"/>
  <c r="M168" i="3" s="1"/>
  <c r="M41" i="3" s="1"/>
  <c r="L267" i="3"/>
  <c r="L270" i="3" s="1"/>
  <c r="K125" i="3"/>
  <c r="K174" i="3"/>
  <c r="K33" i="3"/>
  <c r="N269" i="3"/>
  <c r="O271" i="3"/>
  <c r="K109" i="3"/>
  <c r="L255" i="3"/>
  <c r="L258" i="3" s="1"/>
  <c r="M122" i="3"/>
  <c r="M50" i="3" s="1"/>
  <c r="N228" i="3"/>
  <c r="K86" i="3"/>
  <c r="M82" i="3"/>
  <c r="L302" i="3"/>
  <c r="L157" i="3"/>
  <c r="N104" i="3"/>
  <c r="N160" i="3" s="1"/>
  <c r="N116" i="3"/>
  <c r="N166" i="3" s="1"/>
  <c r="N111" i="3"/>
  <c r="N106" i="3"/>
  <c r="N162" i="3" s="1"/>
  <c r="N119" i="3"/>
  <c r="N167" i="3" s="1"/>
  <c r="N249" i="3"/>
  <c r="O65" i="3"/>
  <c r="O134" i="3" s="1"/>
  <c r="O27" i="3"/>
  <c r="O28" i="3" s="1"/>
  <c r="O133" i="3"/>
  <c r="O67" i="3"/>
  <c r="O135" i="3" s="1"/>
  <c r="O251" i="3" s="1"/>
  <c r="M269" i="3"/>
  <c r="N250" i="3"/>
  <c r="N115" i="3"/>
  <c r="N165" i="3" s="1"/>
  <c r="N114" i="3"/>
  <c r="N105" i="3"/>
  <c r="K304" i="3"/>
  <c r="K306" i="3"/>
  <c r="K308" i="3" s="1"/>
  <c r="K316" i="3" s="1"/>
  <c r="K317" i="3" s="1"/>
  <c r="O269" i="5" l="1"/>
  <c r="M122" i="5"/>
  <c r="N228" i="5"/>
  <c r="L109" i="5"/>
  <c r="M255" i="5"/>
  <c r="M258" i="5" s="1"/>
  <c r="O157" i="5"/>
  <c r="N157" i="5"/>
  <c r="O257" i="5"/>
  <c r="O156" i="5" s="1"/>
  <c r="O83" i="5" s="1"/>
  <c r="O97" i="5" s="1"/>
  <c r="O256" i="5"/>
  <c r="O173" i="5" s="1"/>
  <c r="O174" i="5" s="1"/>
  <c r="M93" i="5"/>
  <c r="M92" i="5"/>
  <c r="O164" i="5"/>
  <c r="O168" i="5" s="1"/>
  <c r="O117" i="5"/>
  <c r="N267" i="5"/>
  <c r="N270" i="5" s="1"/>
  <c r="M125" i="5"/>
  <c r="N168" i="5"/>
  <c r="N84" i="5"/>
  <c r="N86" i="5" s="1"/>
  <c r="O82" i="5"/>
  <c r="M174" i="4"/>
  <c r="N302" i="4"/>
  <c r="N157" i="4"/>
  <c r="L304" i="4"/>
  <c r="L310" i="4"/>
  <c r="L312" i="4" s="1"/>
  <c r="L316" i="4" s="1"/>
  <c r="L317" i="4" s="1"/>
  <c r="O104" i="4"/>
  <c r="O160" i="4" s="1"/>
  <c r="O116" i="4"/>
  <c r="O166" i="4" s="1"/>
  <c r="O111" i="4"/>
  <c r="O163" i="4" s="1"/>
  <c r="O106" i="4"/>
  <c r="O162" i="4" s="1"/>
  <c r="O119" i="4"/>
  <c r="O167" i="4" s="1"/>
  <c r="O249" i="4"/>
  <c r="O269" i="4" s="1"/>
  <c r="M267" i="4"/>
  <c r="M270" i="4" s="1"/>
  <c r="L125" i="4"/>
  <c r="O66" i="4"/>
  <c r="O68" i="4" s="1"/>
  <c r="M84" i="4"/>
  <c r="N257" i="4"/>
  <c r="N156" i="4" s="1"/>
  <c r="N83" i="4" s="1"/>
  <c r="N97" i="4" s="1"/>
  <c r="N256" i="4"/>
  <c r="N173" i="4" s="1"/>
  <c r="M302" i="4"/>
  <c r="M157" i="4"/>
  <c r="L109" i="4"/>
  <c r="M255" i="4"/>
  <c r="M258" i="4" s="1"/>
  <c r="N82" i="4"/>
  <c r="N164" i="4"/>
  <c r="N117" i="4"/>
  <c r="N168" i="4"/>
  <c r="N230" i="4"/>
  <c r="N232" i="4"/>
  <c r="N233" i="4" s="1"/>
  <c r="L93" i="4"/>
  <c r="L92" i="4"/>
  <c r="O250" i="4"/>
  <c r="O115" i="4"/>
  <c r="O165" i="4" s="1"/>
  <c r="O114" i="4"/>
  <c r="O105" i="4"/>
  <c r="O161" i="4" s="1"/>
  <c r="K93" i="4"/>
  <c r="K92" i="4"/>
  <c r="K75" i="4"/>
  <c r="K300" i="4"/>
  <c r="K78" i="4" s="1"/>
  <c r="K42" i="3"/>
  <c r="K34" i="3"/>
  <c r="O104" i="3"/>
  <c r="O160" i="3" s="1"/>
  <c r="O116" i="3"/>
  <c r="O166" i="3" s="1"/>
  <c r="O111" i="3"/>
  <c r="O106" i="3"/>
  <c r="O162" i="3" s="1"/>
  <c r="O119" i="3"/>
  <c r="O167" i="3" s="1"/>
  <c r="O249" i="3"/>
  <c r="L86" i="3"/>
  <c r="O250" i="3"/>
  <c r="O115" i="3"/>
  <c r="O165" i="3" s="1"/>
  <c r="O114" i="3"/>
  <c r="O105" i="3"/>
  <c r="M174" i="3"/>
  <c r="M33" i="3"/>
  <c r="O163" i="3"/>
  <c r="O66" i="3"/>
  <c r="O68" i="3" s="1"/>
  <c r="M267" i="3"/>
  <c r="M270" i="3" s="1"/>
  <c r="L125" i="3"/>
  <c r="N164" i="3"/>
  <c r="N117" i="3"/>
  <c r="M84" i="3"/>
  <c r="K93" i="3"/>
  <c r="K92" i="3"/>
  <c r="K29" i="3"/>
  <c r="N163" i="3"/>
  <c r="L304" i="3"/>
  <c r="L306" i="3"/>
  <c r="L308" i="3" s="1"/>
  <c r="L316" i="3" s="1"/>
  <c r="L42" i="3"/>
  <c r="L34" i="3"/>
  <c r="N302" i="3"/>
  <c r="N157" i="3"/>
  <c r="O161" i="3"/>
  <c r="N230" i="3"/>
  <c r="L315" i="3"/>
  <c r="K298" i="3"/>
  <c r="N161" i="3"/>
  <c r="N256" i="3"/>
  <c r="N173" i="3" s="1"/>
  <c r="N257" i="3"/>
  <c r="N156" i="3" s="1"/>
  <c r="N83" i="3" s="1"/>
  <c r="N97" i="3" s="1"/>
  <c r="M302" i="3"/>
  <c r="M157" i="3"/>
  <c r="L109" i="3"/>
  <c r="M255" i="3"/>
  <c r="M258" i="3" s="1"/>
  <c r="M38" i="3" l="1"/>
  <c r="N168" i="3"/>
  <c r="N41" i="3" s="1"/>
  <c r="N84" i="3"/>
  <c r="N38" i="3" s="1"/>
  <c r="N230" i="5"/>
  <c r="O267" i="5"/>
  <c r="O270" i="5" s="1"/>
  <c r="O125" i="5" s="1"/>
  <c r="N125" i="5"/>
  <c r="N93" i="5"/>
  <c r="N92" i="5"/>
  <c r="N255" i="5"/>
  <c r="N258" i="5" s="1"/>
  <c r="M109" i="5"/>
  <c r="O84" i="5"/>
  <c r="O86" i="5" s="1"/>
  <c r="O302" i="4"/>
  <c r="O157" i="4"/>
  <c r="N122" i="4"/>
  <c r="O228" i="4"/>
  <c r="M86" i="4"/>
  <c r="O82" i="4"/>
  <c r="N267" i="4"/>
  <c r="N270" i="4" s="1"/>
  <c r="M125" i="4"/>
  <c r="O257" i="4"/>
  <c r="O156" i="4" s="1"/>
  <c r="O83" i="4" s="1"/>
  <c r="O97" i="4" s="1"/>
  <c r="O256" i="4"/>
  <c r="O173" i="4" s="1"/>
  <c r="O164" i="4"/>
  <c r="O168" i="4" s="1"/>
  <c r="O117" i="4"/>
  <c r="N255" i="4"/>
  <c r="N258" i="4" s="1"/>
  <c r="M109" i="4"/>
  <c r="M304" i="4"/>
  <c r="M310" i="4"/>
  <c r="M312" i="4" s="1"/>
  <c r="M316" i="4" s="1"/>
  <c r="N304" i="4"/>
  <c r="N310" i="4"/>
  <c r="N312" i="4" s="1"/>
  <c r="N316" i="4" s="1"/>
  <c r="N174" i="4"/>
  <c r="N84" i="4"/>
  <c r="M315" i="4"/>
  <c r="L298" i="4"/>
  <c r="M42" i="3"/>
  <c r="M34" i="3"/>
  <c r="N304" i="3"/>
  <c r="N306" i="3"/>
  <c r="N308" i="3" s="1"/>
  <c r="N316" i="3" s="1"/>
  <c r="O257" i="3"/>
  <c r="O156" i="3" s="1"/>
  <c r="O83" i="3" s="1"/>
  <c r="O97" i="3" s="1"/>
  <c r="O256" i="3"/>
  <c r="O173" i="3" s="1"/>
  <c r="O164" i="3"/>
  <c r="O168" i="3" s="1"/>
  <c r="O41" i="3" s="1"/>
  <c r="O117" i="3"/>
  <c r="L93" i="3"/>
  <c r="L92" i="3"/>
  <c r="L29" i="3"/>
  <c r="N86" i="3"/>
  <c r="M86" i="3"/>
  <c r="K30" i="3"/>
  <c r="K300" i="3"/>
  <c r="K78" i="3" s="1"/>
  <c r="K75" i="3"/>
  <c r="N174" i="3"/>
  <c r="N33" i="3"/>
  <c r="L317" i="3"/>
  <c r="N122" i="3"/>
  <c r="N50" i="3" s="1"/>
  <c r="O228" i="3"/>
  <c r="N255" i="3"/>
  <c r="N258" i="3" s="1"/>
  <c r="M109" i="3"/>
  <c r="N267" i="3"/>
  <c r="N270" i="3" s="1"/>
  <c r="M125" i="3"/>
  <c r="O269" i="3"/>
  <c r="M304" i="3"/>
  <c r="M306" i="3"/>
  <c r="M308" i="3" s="1"/>
  <c r="M316" i="3" s="1"/>
  <c r="N232" i="3"/>
  <c r="N233" i="3" s="1"/>
  <c r="O82" i="3"/>
  <c r="O84" i="3" l="1"/>
  <c r="N122" i="5"/>
  <c r="O228" i="5"/>
  <c r="N232" i="5"/>
  <c r="N233" i="5" s="1"/>
  <c r="O255" i="5"/>
  <c r="O258" i="5" s="1"/>
  <c r="O109" i="5" s="1"/>
  <c r="N109" i="5"/>
  <c r="O93" i="5"/>
  <c r="O92" i="5"/>
  <c r="O255" i="4"/>
  <c r="O258" i="4" s="1"/>
  <c r="O109" i="4" s="1"/>
  <c r="N109" i="4"/>
  <c r="M93" i="4"/>
  <c r="M92" i="4"/>
  <c r="O267" i="4"/>
  <c r="O270" i="4" s="1"/>
  <c r="O125" i="4" s="1"/>
  <c r="N125" i="4"/>
  <c r="O174" i="4"/>
  <c r="O230" i="4"/>
  <c r="O122" i="4" s="1"/>
  <c r="O232" i="4"/>
  <c r="O233" i="4" s="1"/>
  <c r="O84" i="4"/>
  <c r="L75" i="4"/>
  <c r="L300" i="4"/>
  <c r="L78" i="4" s="1"/>
  <c r="N86" i="4"/>
  <c r="M317" i="4"/>
  <c r="O304" i="4"/>
  <c r="O310" i="4"/>
  <c r="O312" i="4" s="1"/>
  <c r="O316" i="4" s="1"/>
  <c r="O86" i="3"/>
  <c r="M93" i="3"/>
  <c r="M92" i="3"/>
  <c r="M29" i="3"/>
  <c r="N93" i="3"/>
  <c r="N92" i="3"/>
  <c r="N29" i="3"/>
  <c r="O255" i="3"/>
  <c r="O258" i="3" s="1"/>
  <c r="O109" i="3" s="1"/>
  <c r="N109" i="3"/>
  <c r="O174" i="3"/>
  <c r="O33" i="3"/>
  <c r="L30" i="3"/>
  <c r="N42" i="3"/>
  <c r="N34" i="3"/>
  <c r="O302" i="3"/>
  <c r="O157" i="3"/>
  <c r="O267" i="3"/>
  <c r="O270" i="3" s="1"/>
  <c r="O125" i="3" s="1"/>
  <c r="N125" i="3"/>
  <c r="O230" i="3"/>
  <c r="O122" i="3" s="1"/>
  <c r="O50" i="3" s="1"/>
  <c r="M315" i="3"/>
  <c r="M317" i="3" s="1"/>
  <c r="L298" i="3"/>
  <c r="O38" i="3" l="1"/>
  <c r="O230" i="5"/>
  <c r="O122" i="5" s="1"/>
  <c r="N93" i="4"/>
  <c r="N92" i="4"/>
  <c r="O86" i="4"/>
  <c r="N315" i="4"/>
  <c r="N317" i="4" s="1"/>
  <c r="M298" i="4"/>
  <c r="O232" i="3"/>
  <c r="O233" i="3" s="1"/>
  <c r="O42" i="3"/>
  <c r="O34" i="3"/>
  <c r="M30" i="3"/>
  <c r="O304" i="3"/>
  <c r="O306" i="3"/>
  <c r="O308" i="3" s="1"/>
  <c r="O316" i="3" s="1"/>
  <c r="N30" i="3"/>
  <c r="L75" i="3"/>
  <c r="L300" i="3"/>
  <c r="L78" i="3" s="1"/>
  <c r="N315" i="3"/>
  <c r="N317" i="3" s="1"/>
  <c r="M298" i="3"/>
  <c r="O93" i="3"/>
  <c r="O92" i="3"/>
  <c r="O29" i="3"/>
  <c r="O232" i="5" l="1"/>
  <c r="O233" i="5" s="1"/>
  <c r="M75" i="4"/>
  <c r="M300" i="4"/>
  <c r="M78" i="4" s="1"/>
  <c r="O93" i="4"/>
  <c r="O92" i="4"/>
  <c r="O315" i="4"/>
  <c r="O317" i="4" s="1"/>
  <c r="O298" i="4" s="1"/>
  <c r="N298" i="4"/>
  <c r="M75" i="3"/>
  <c r="M300" i="3"/>
  <c r="M78" i="3" s="1"/>
  <c r="O30" i="3"/>
  <c r="O315" i="3"/>
  <c r="O317" i="3" s="1"/>
  <c r="O298" i="3" s="1"/>
  <c r="N298" i="3"/>
  <c r="N75" i="4" l="1"/>
  <c r="N300" i="4"/>
  <c r="N78" i="4" s="1"/>
  <c r="O75" i="4"/>
  <c r="O300" i="4"/>
  <c r="O78" i="4" s="1"/>
  <c r="N75" i="3"/>
  <c r="N300" i="3"/>
  <c r="N78" i="3" s="1"/>
  <c r="O75" i="3"/>
  <c r="O300" i="3"/>
  <c r="O78" i="3" s="1"/>
  <c r="K95" i="5" l="1"/>
  <c r="L95" i="5"/>
  <c r="M95" i="5"/>
  <c r="N95" i="5"/>
  <c r="O95" i="5"/>
  <c r="K71" i="6"/>
  <c r="K72" i="6" s="1"/>
  <c r="M71" i="6"/>
  <c r="N71" i="6"/>
  <c r="L71" i="6"/>
  <c r="O71" i="6"/>
  <c r="O72" i="6" s="1"/>
  <c r="O73" i="6" s="1"/>
  <c r="L72" i="6"/>
  <c r="O286" i="6" l="1"/>
  <c r="O287" i="6" s="1"/>
  <c r="O155" i="6"/>
  <c r="O170" i="6" s="1"/>
  <c r="L73" i="6"/>
  <c r="N72" i="6"/>
  <c r="N73" i="6" s="1"/>
  <c r="M72" i="6"/>
  <c r="M73" i="6" s="1"/>
  <c r="K73" i="6"/>
  <c r="O200" i="6" l="1"/>
  <c r="O181" i="6" s="1"/>
  <c r="M286" i="6"/>
  <c r="M287" i="6" s="1"/>
  <c r="M155" i="6"/>
  <c r="M170" i="6" s="1"/>
  <c r="M94" i="6"/>
  <c r="N286" i="6"/>
  <c r="N287" i="6" s="1"/>
  <c r="N155" i="6"/>
  <c r="N170" i="6" s="1"/>
  <c r="N94" i="6"/>
  <c r="O94" i="6"/>
  <c r="K286" i="6"/>
  <c r="K155" i="6"/>
  <c r="K170" i="6" s="1"/>
  <c r="K94" i="6"/>
  <c r="O195" i="6"/>
  <c r="O197" i="6" s="1"/>
  <c r="O201" i="6" s="1"/>
  <c r="O205" i="6" s="1"/>
  <c r="L286" i="6"/>
  <c r="L287" i="6" s="1"/>
  <c r="L155" i="6"/>
  <c r="L170" i="6" s="1"/>
  <c r="L94" i="6"/>
  <c r="L200" i="6" l="1"/>
  <c r="L181" i="6" s="1"/>
  <c r="N181" i="6"/>
  <c r="N200" i="6"/>
  <c r="M200" i="6"/>
  <c r="M181" i="6" s="1"/>
  <c r="L195" i="6"/>
  <c r="L197" i="6" s="1"/>
  <c r="L201" i="6" s="1"/>
  <c r="L205" i="6" s="1"/>
  <c r="K195" i="6"/>
  <c r="K197" i="6" s="1"/>
  <c r="N195" i="6"/>
  <c r="N197" i="6" s="1"/>
  <c r="M195" i="6"/>
  <c r="M197" i="6" s="1"/>
  <c r="K287" i="6"/>
  <c r="K288" i="6" l="1"/>
  <c r="K200" i="6"/>
  <c r="M201" i="6"/>
  <c r="M205" i="6" s="1"/>
  <c r="N201" i="6"/>
  <c r="N205" i="6" s="1"/>
  <c r="K181" i="6"/>
  <c r="K201" i="6"/>
  <c r="K205" i="6" s="1"/>
  <c r="K206" i="6" s="1"/>
  <c r="K218" i="6" s="1"/>
  <c r="L285" i="6" l="1"/>
  <c r="L288" i="6" s="1"/>
  <c r="K127" i="6"/>
  <c r="K219" i="6"/>
  <c r="K209" i="6"/>
  <c r="M285" i="6" l="1"/>
  <c r="M288" i="6" s="1"/>
  <c r="L127" i="6"/>
  <c r="K210" i="6"/>
  <c r="K182" i="6"/>
  <c r="K184" i="6" s="1"/>
  <c r="K103" i="6" s="1"/>
  <c r="K121" i="6"/>
  <c r="K123" i="6" s="1"/>
  <c r="K128" i="6" s="1"/>
  <c r="K225" i="6"/>
  <c r="L217" i="6"/>
  <c r="N285" i="6" l="1"/>
  <c r="N288" i="6" s="1"/>
  <c r="M127" i="6"/>
  <c r="L203" i="6"/>
  <c r="L206" i="6" s="1"/>
  <c r="L218" i="6" s="1"/>
  <c r="K107" i="6"/>
  <c r="O285" i="6" l="1"/>
  <c r="O288" i="6" s="1"/>
  <c r="O127" i="6" s="1"/>
  <c r="N127" i="6"/>
  <c r="L209" i="6"/>
  <c r="L219" i="6"/>
  <c r="K112" i="6"/>
  <c r="K130" i="6" s="1"/>
  <c r="K148" i="6"/>
  <c r="K149" i="6" s="1"/>
  <c r="L121" i="6" l="1"/>
  <c r="L123" i="6" s="1"/>
  <c r="L128" i="6" s="1"/>
  <c r="L225" i="6"/>
  <c r="M217" i="6"/>
  <c r="L210" i="6"/>
  <c r="L182" i="6"/>
  <c r="L184" i="6" s="1"/>
  <c r="L103" i="6" s="1"/>
  <c r="M203" i="6" l="1"/>
  <c r="M206" i="6" s="1"/>
  <c r="M218" i="6" s="1"/>
  <c r="L107" i="6"/>
  <c r="M209" i="6" l="1"/>
  <c r="M219" i="6"/>
  <c r="L112" i="6"/>
  <c r="L130" i="6" s="1"/>
  <c r="L148" i="6"/>
  <c r="L149" i="6" s="1"/>
  <c r="M121" i="6" l="1"/>
  <c r="M123" i="6" s="1"/>
  <c r="M128" i="6" s="1"/>
  <c r="M225" i="6"/>
  <c r="N217" i="6"/>
  <c r="M210" i="6"/>
  <c r="M178" i="6" s="1"/>
  <c r="M182" i="6" s="1"/>
  <c r="M184" i="6" s="1"/>
  <c r="M103" i="6" s="1"/>
  <c r="M107" i="6" l="1"/>
  <c r="N203" i="6"/>
  <c r="N206" i="6" s="1"/>
  <c r="N218" i="6" s="1"/>
  <c r="N209" i="6" l="1"/>
  <c r="N219" i="6"/>
  <c r="M112" i="6"/>
  <c r="M130" i="6" s="1"/>
  <c r="M148" i="6"/>
  <c r="M149" i="6" s="1"/>
  <c r="O217" i="6" l="1"/>
  <c r="N121" i="6"/>
  <c r="N123" i="6" s="1"/>
  <c r="N128" i="6" s="1"/>
  <c r="N225" i="6"/>
  <c r="N210" i="6"/>
  <c r="N178" i="6" s="1"/>
  <c r="N182" i="6" s="1"/>
  <c r="N184" i="6" s="1"/>
  <c r="N103" i="6" s="1"/>
  <c r="N107" i="6" l="1"/>
  <c r="O203" i="6"/>
  <c r="O206" i="6" s="1"/>
  <c r="O218" i="6" s="1"/>
  <c r="O209" i="6" l="1"/>
  <c r="O219" i="6"/>
  <c r="N112" i="6"/>
  <c r="N130" i="6" s="1"/>
  <c r="N148" i="6"/>
  <c r="N149" i="6" s="1"/>
  <c r="O121" i="6" l="1"/>
  <c r="O123" i="6" s="1"/>
  <c r="O128" i="6" s="1"/>
  <c r="O225" i="6"/>
  <c r="O210" i="6"/>
  <c r="O178" i="6" s="1"/>
  <c r="O182" i="6" s="1"/>
  <c r="O184" i="6" s="1"/>
  <c r="O103" i="6" s="1"/>
  <c r="O107" i="6" s="1"/>
  <c r="O112" i="6" l="1"/>
  <c r="O130" i="6" s="1"/>
  <c r="O148" i="6"/>
  <c r="O149" i="6" s="1"/>
  <c r="K95" i="18" l="1"/>
  <c r="L95" i="18"/>
  <c r="M95" i="18"/>
  <c r="N95" i="18"/>
  <c r="O95" i="18"/>
  <c r="K69" i="18" l="1"/>
  <c r="L69" i="18"/>
  <c r="M69" i="18"/>
  <c r="N69" i="18"/>
  <c r="O69" i="18"/>
  <c r="K70" i="18"/>
  <c r="L70" i="18"/>
  <c r="M70" i="18"/>
  <c r="N70" i="18"/>
  <c r="O70" i="18"/>
  <c r="K71" i="18"/>
  <c r="L71" i="18"/>
  <c r="M71" i="18"/>
  <c r="N71" i="18"/>
  <c r="O71" i="18"/>
  <c r="K72" i="18"/>
  <c r="L72" i="18"/>
  <c r="M72" i="18"/>
  <c r="N72" i="18"/>
  <c r="O72" i="18"/>
  <c r="K73" i="18"/>
  <c r="L73" i="18"/>
  <c r="M73" i="18"/>
  <c r="N73" i="18"/>
  <c r="O73" i="18"/>
  <c r="K94" i="18"/>
  <c r="L94" i="18"/>
  <c r="M94" i="18"/>
  <c r="N94" i="18"/>
  <c r="O94" i="18"/>
  <c r="K103" i="18"/>
  <c r="L103" i="18"/>
  <c r="M103" i="18"/>
  <c r="N103" i="18"/>
  <c r="O103" i="18"/>
  <c r="K107" i="18"/>
  <c r="L107" i="18"/>
  <c r="M107" i="18"/>
  <c r="N107" i="18"/>
  <c r="O107" i="18"/>
  <c r="K112" i="18"/>
  <c r="L112" i="18"/>
  <c r="M112" i="18"/>
  <c r="N112" i="18"/>
  <c r="O112" i="18"/>
  <c r="K121" i="18"/>
  <c r="L121" i="18"/>
  <c r="M121" i="18"/>
  <c r="N121" i="18"/>
  <c r="O121" i="18"/>
  <c r="K123" i="18"/>
  <c r="L123" i="18"/>
  <c r="M123" i="18"/>
  <c r="N123" i="18"/>
  <c r="O123" i="18"/>
  <c r="K127" i="18"/>
  <c r="L127" i="18"/>
  <c r="M127" i="18"/>
  <c r="N127" i="18"/>
  <c r="O127" i="18"/>
  <c r="K128" i="18"/>
  <c r="L128" i="18"/>
  <c r="M128" i="18"/>
  <c r="N128" i="18"/>
  <c r="O128" i="18"/>
  <c r="K130" i="18"/>
  <c r="L130" i="18"/>
  <c r="M130" i="18"/>
  <c r="N130" i="18"/>
  <c r="O130" i="18"/>
  <c r="K148" i="18"/>
  <c r="L148" i="18"/>
  <c r="M148" i="18"/>
  <c r="N148" i="18"/>
  <c r="O148" i="18"/>
  <c r="K149" i="18"/>
  <c r="L149" i="18"/>
  <c r="M149" i="18"/>
  <c r="N149" i="18"/>
  <c r="O149" i="18"/>
  <c r="K155" i="18"/>
  <c r="L155" i="18"/>
  <c r="M155" i="18"/>
  <c r="N155" i="18"/>
  <c r="O155" i="18"/>
  <c r="K170" i="18"/>
  <c r="L170" i="18"/>
  <c r="M170" i="18"/>
  <c r="N170" i="18"/>
  <c r="O170" i="18"/>
  <c r="K178" i="18"/>
  <c r="L178" i="18"/>
  <c r="M178" i="18"/>
  <c r="N178" i="18"/>
  <c r="O178" i="18"/>
  <c r="K181" i="18"/>
  <c r="L181" i="18"/>
  <c r="M181" i="18"/>
  <c r="N181" i="18"/>
  <c r="O181" i="18"/>
  <c r="K182" i="18"/>
  <c r="L182" i="18"/>
  <c r="M182" i="18"/>
  <c r="N182" i="18"/>
  <c r="O182" i="18"/>
  <c r="K184" i="18"/>
  <c r="L184" i="18"/>
  <c r="M184" i="18"/>
  <c r="N184" i="18"/>
  <c r="O184" i="18"/>
  <c r="K195" i="18"/>
  <c r="L195" i="18"/>
  <c r="M195" i="18"/>
  <c r="N195" i="18"/>
  <c r="O195" i="18"/>
  <c r="K197" i="18"/>
  <c r="L197" i="18"/>
  <c r="M197" i="18"/>
  <c r="N197" i="18"/>
  <c r="O197" i="18"/>
  <c r="K200" i="18"/>
  <c r="L200" i="18"/>
  <c r="M200" i="18"/>
  <c r="N200" i="18"/>
  <c r="O200" i="18"/>
  <c r="K201" i="18"/>
  <c r="L201" i="18"/>
  <c r="M201" i="18"/>
  <c r="N201" i="18"/>
  <c r="O201" i="18"/>
  <c r="L203" i="18"/>
  <c r="M203" i="18"/>
  <c r="N203" i="18"/>
  <c r="O203" i="18"/>
  <c r="K205" i="18"/>
  <c r="L205" i="18"/>
  <c r="M205" i="18"/>
  <c r="N205" i="18"/>
  <c r="O205" i="18"/>
  <c r="K206" i="18"/>
  <c r="L206" i="18"/>
  <c r="M206" i="18"/>
  <c r="N206" i="18"/>
  <c r="O206" i="18"/>
  <c r="K209" i="18"/>
  <c r="L209" i="18"/>
  <c r="M209" i="18"/>
  <c r="N209" i="18"/>
  <c r="O209" i="18"/>
  <c r="K210" i="18"/>
  <c r="L210" i="18"/>
  <c r="M210" i="18"/>
  <c r="N210" i="18"/>
  <c r="O210" i="18"/>
  <c r="L217" i="18"/>
  <c r="M217" i="18"/>
  <c r="N217" i="18"/>
  <c r="O217" i="18"/>
  <c r="K218" i="18"/>
  <c r="L218" i="18"/>
  <c r="M218" i="18"/>
  <c r="N218" i="18"/>
  <c r="O218" i="18"/>
  <c r="K219" i="18"/>
  <c r="L219" i="18"/>
  <c r="M219" i="18"/>
  <c r="N219" i="18"/>
  <c r="O219" i="18"/>
  <c r="K221" i="18"/>
  <c r="L221" i="18"/>
  <c r="M221" i="18"/>
  <c r="N221" i="18"/>
  <c r="O221" i="18"/>
  <c r="K222" i="18"/>
  <c r="L222" i="18"/>
  <c r="M222" i="18"/>
  <c r="N222" i="18"/>
  <c r="O222" i="18"/>
  <c r="K225" i="18"/>
  <c r="L225" i="18"/>
  <c r="M225" i="18"/>
  <c r="N225" i="18"/>
  <c r="O225" i="18"/>
  <c r="L240" i="18"/>
  <c r="M240" i="18"/>
  <c r="N240" i="18"/>
  <c r="O240" i="18"/>
  <c r="K241" i="18"/>
  <c r="L241" i="18"/>
  <c r="M241" i="18"/>
  <c r="N241" i="18"/>
  <c r="O241" i="18"/>
  <c r="K243" i="18"/>
  <c r="L243" i="18"/>
  <c r="M243" i="18"/>
  <c r="N243" i="18"/>
  <c r="O243" i="18"/>
  <c r="K244" i="18"/>
  <c r="L244" i="18"/>
  <c r="M244" i="18"/>
  <c r="N244" i="18"/>
  <c r="O244" i="18"/>
  <c r="L285" i="18"/>
  <c r="M285" i="18"/>
  <c r="N285" i="18"/>
  <c r="O285" i="18"/>
  <c r="K286" i="18"/>
  <c r="L286" i="18"/>
  <c r="M286" i="18"/>
  <c r="N286" i="18"/>
  <c r="O286" i="18"/>
  <c r="K287" i="18"/>
  <c r="L287" i="18"/>
  <c r="M287" i="18"/>
  <c r="N287" i="18"/>
  <c r="O287" i="18"/>
  <c r="K288" i="18"/>
  <c r="L288" i="18"/>
  <c r="M288" i="18"/>
  <c r="N288" i="18"/>
  <c r="O288" i="18"/>
  <c r="D16" i="5"/>
  <c r="D17" i="5"/>
  <c r="D18" i="5"/>
  <c r="K69" i="5"/>
  <c r="L69" i="5"/>
  <c r="M69" i="5"/>
  <c r="N69" i="5"/>
  <c r="O69" i="5"/>
  <c r="K70" i="5"/>
  <c r="L70" i="5"/>
  <c r="M70" i="5"/>
  <c r="N70" i="5"/>
  <c r="O70" i="5"/>
  <c r="K71" i="5"/>
  <c r="L71" i="5"/>
  <c r="M71" i="5"/>
  <c r="N71" i="5"/>
  <c r="O71" i="5"/>
  <c r="K72" i="5"/>
  <c r="L72" i="5"/>
  <c r="M72" i="5"/>
  <c r="N72" i="5"/>
  <c r="O72" i="5"/>
  <c r="K73" i="5"/>
  <c r="L73" i="5"/>
  <c r="M73" i="5"/>
  <c r="N73" i="5"/>
  <c r="O73" i="5"/>
  <c r="K94" i="5"/>
  <c r="L94" i="5"/>
  <c r="M94" i="5"/>
  <c r="N94" i="5"/>
  <c r="O94" i="5"/>
  <c r="K103" i="5"/>
  <c r="L103" i="5"/>
  <c r="M103" i="5"/>
  <c r="N103" i="5"/>
  <c r="O103" i="5"/>
  <c r="K107" i="5"/>
  <c r="L107" i="5"/>
  <c r="M107" i="5"/>
  <c r="N107" i="5"/>
  <c r="O107" i="5"/>
  <c r="K112" i="5"/>
  <c r="L112" i="5"/>
  <c r="M112" i="5"/>
  <c r="N112" i="5"/>
  <c r="O112" i="5"/>
  <c r="K121" i="5"/>
  <c r="L121" i="5"/>
  <c r="M121" i="5"/>
  <c r="N121" i="5"/>
  <c r="O121" i="5"/>
  <c r="K123" i="5"/>
  <c r="L123" i="5"/>
  <c r="M123" i="5"/>
  <c r="N123" i="5"/>
  <c r="O123" i="5"/>
  <c r="K127" i="5"/>
  <c r="L127" i="5"/>
  <c r="M127" i="5"/>
  <c r="N127" i="5"/>
  <c r="O127" i="5"/>
  <c r="K128" i="5"/>
  <c r="L128" i="5"/>
  <c r="M128" i="5"/>
  <c r="N128" i="5"/>
  <c r="O128" i="5"/>
  <c r="K130" i="5"/>
  <c r="L130" i="5"/>
  <c r="M130" i="5"/>
  <c r="N130" i="5"/>
  <c r="O130" i="5"/>
  <c r="K148" i="5"/>
  <c r="L148" i="5"/>
  <c r="M148" i="5"/>
  <c r="N148" i="5"/>
  <c r="O148" i="5"/>
  <c r="K149" i="5"/>
  <c r="L149" i="5"/>
  <c r="M149" i="5"/>
  <c r="N149" i="5"/>
  <c r="O149" i="5"/>
  <c r="K155" i="5"/>
  <c r="L155" i="5"/>
  <c r="M155" i="5"/>
  <c r="N155" i="5"/>
  <c r="O155" i="5"/>
  <c r="K170" i="5"/>
  <c r="L170" i="5"/>
  <c r="M170" i="5"/>
  <c r="N170" i="5"/>
  <c r="O170" i="5"/>
  <c r="K178" i="5"/>
  <c r="L178" i="5"/>
  <c r="M178" i="5"/>
  <c r="N178" i="5"/>
  <c r="O178" i="5"/>
  <c r="K181" i="5"/>
  <c r="L181" i="5"/>
  <c r="M181" i="5"/>
  <c r="N181" i="5"/>
  <c r="O181" i="5"/>
  <c r="K182" i="5"/>
  <c r="L182" i="5"/>
  <c r="M182" i="5"/>
  <c r="N182" i="5"/>
  <c r="O182" i="5"/>
  <c r="K184" i="5"/>
  <c r="L184" i="5"/>
  <c r="M184" i="5"/>
  <c r="N184" i="5"/>
  <c r="O184" i="5"/>
  <c r="K195" i="5"/>
  <c r="L195" i="5"/>
  <c r="M195" i="5"/>
  <c r="N195" i="5"/>
  <c r="O195" i="5"/>
  <c r="K197" i="5"/>
  <c r="L197" i="5"/>
  <c r="M197" i="5"/>
  <c r="N197" i="5"/>
  <c r="O197" i="5"/>
  <c r="K200" i="5"/>
  <c r="L200" i="5"/>
  <c r="M200" i="5"/>
  <c r="N200" i="5"/>
  <c r="O200" i="5"/>
  <c r="K201" i="5"/>
  <c r="L201" i="5"/>
  <c r="M201" i="5"/>
  <c r="N201" i="5"/>
  <c r="O201" i="5"/>
  <c r="L203" i="5"/>
  <c r="M203" i="5"/>
  <c r="N203" i="5"/>
  <c r="O203" i="5"/>
  <c r="K205" i="5"/>
  <c r="L205" i="5"/>
  <c r="M205" i="5"/>
  <c r="N205" i="5"/>
  <c r="O205" i="5"/>
  <c r="K206" i="5"/>
  <c r="L206" i="5"/>
  <c r="M206" i="5"/>
  <c r="N206" i="5"/>
  <c r="O206" i="5"/>
  <c r="K209" i="5"/>
  <c r="L209" i="5"/>
  <c r="M209" i="5"/>
  <c r="N209" i="5"/>
  <c r="O209" i="5"/>
  <c r="K210" i="5"/>
  <c r="L210" i="5"/>
  <c r="M210" i="5"/>
  <c r="N210" i="5"/>
  <c r="O210" i="5"/>
  <c r="L217" i="5"/>
  <c r="M217" i="5"/>
  <c r="N217" i="5"/>
  <c r="O217" i="5"/>
  <c r="K218" i="5"/>
  <c r="L218" i="5"/>
  <c r="M218" i="5"/>
  <c r="N218" i="5"/>
  <c r="O218" i="5"/>
  <c r="K219" i="5"/>
  <c r="L219" i="5"/>
  <c r="M219" i="5"/>
  <c r="N219" i="5"/>
  <c r="O219" i="5"/>
  <c r="K221" i="5"/>
  <c r="L221" i="5"/>
  <c r="M221" i="5"/>
  <c r="N221" i="5"/>
  <c r="O221" i="5"/>
  <c r="K222" i="5"/>
  <c r="L222" i="5"/>
  <c r="M222" i="5"/>
  <c r="N222" i="5"/>
  <c r="O222" i="5"/>
  <c r="K225" i="5"/>
  <c r="L225" i="5"/>
  <c r="M225" i="5"/>
  <c r="N225" i="5"/>
  <c r="O225" i="5"/>
  <c r="L240" i="5"/>
  <c r="M240" i="5"/>
  <c r="N240" i="5"/>
  <c r="O240" i="5"/>
  <c r="K241" i="5"/>
  <c r="L241" i="5"/>
  <c r="M241" i="5"/>
  <c r="N241" i="5"/>
  <c r="O241" i="5"/>
  <c r="K243" i="5"/>
  <c r="L243" i="5"/>
  <c r="M243" i="5"/>
  <c r="N243" i="5"/>
  <c r="O243" i="5"/>
  <c r="K244" i="5"/>
  <c r="L244" i="5"/>
  <c r="M244" i="5"/>
  <c r="N244" i="5"/>
  <c r="O244" i="5"/>
  <c r="L285" i="5"/>
  <c r="M285" i="5"/>
  <c r="N285" i="5"/>
  <c r="O285" i="5"/>
  <c r="K286" i="5"/>
  <c r="L286" i="5"/>
  <c r="M286" i="5"/>
  <c r="N286" i="5"/>
  <c r="O286" i="5"/>
  <c r="K287" i="5"/>
  <c r="L287" i="5"/>
  <c r="M287" i="5"/>
  <c r="N287" i="5"/>
  <c r="O287" i="5"/>
  <c r="K288" i="5"/>
  <c r="L288" i="5"/>
  <c r="M288" i="5"/>
  <c r="N288" i="5"/>
  <c r="O288" i="5"/>
  <c r="D16" i="4"/>
  <c r="D17" i="4"/>
  <c r="D18" i="4"/>
  <c r="K69" i="4"/>
  <c r="L69" i="4"/>
  <c r="M69" i="4"/>
  <c r="N69" i="4"/>
  <c r="O69" i="4"/>
  <c r="K70" i="4"/>
  <c r="L70" i="4"/>
  <c r="M70" i="4"/>
  <c r="N70" i="4"/>
  <c r="O70" i="4"/>
  <c r="K71" i="4"/>
  <c r="L71" i="4"/>
  <c r="M71" i="4"/>
  <c r="N71" i="4"/>
  <c r="O71" i="4"/>
  <c r="K72" i="4"/>
  <c r="L72" i="4"/>
  <c r="M72" i="4"/>
  <c r="N72" i="4"/>
  <c r="O72" i="4"/>
  <c r="K73" i="4"/>
  <c r="L73" i="4"/>
  <c r="M73" i="4"/>
  <c r="N73" i="4"/>
  <c r="O73" i="4"/>
  <c r="K76" i="4"/>
  <c r="L76" i="4"/>
  <c r="M76" i="4"/>
  <c r="N76" i="4"/>
  <c r="O76" i="4"/>
  <c r="K79" i="4"/>
  <c r="L79" i="4"/>
  <c r="M79" i="4"/>
  <c r="N79" i="4"/>
  <c r="O79" i="4"/>
  <c r="K94" i="4"/>
  <c r="L94" i="4"/>
  <c r="M94" i="4"/>
  <c r="N94" i="4"/>
  <c r="O94" i="4"/>
  <c r="K95" i="4"/>
  <c r="L95" i="4"/>
  <c r="M95" i="4"/>
  <c r="N95" i="4"/>
  <c r="O95" i="4"/>
  <c r="K103" i="4"/>
  <c r="L103" i="4"/>
  <c r="M103" i="4"/>
  <c r="N103" i="4"/>
  <c r="O103" i="4"/>
  <c r="K107" i="4"/>
  <c r="L107" i="4"/>
  <c r="M107" i="4"/>
  <c r="N107" i="4"/>
  <c r="O107" i="4"/>
  <c r="K112" i="4"/>
  <c r="L112" i="4"/>
  <c r="M112" i="4"/>
  <c r="N112" i="4"/>
  <c r="O112" i="4"/>
  <c r="K121" i="4"/>
  <c r="L121" i="4"/>
  <c r="M121" i="4"/>
  <c r="N121" i="4"/>
  <c r="O121" i="4"/>
  <c r="K123" i="4"/>
  <c r="L123" i="4"/>
  <c r="M123" i="4"/>
  <c r="N123" i="4"/>
  <c r="O123" i="4"/>
  <c r="K127" i="4"/>
  <c r="L127" i="4"/>
  <c r="M127" i="4"/>
  <c r="N127" i="4"/>
  <c r="O127" i="4"/>
  <c r="K128" i="4"/>
  <c r="L128" i="4"/>
  <c r="M128" i="4"/>
  <c r="N128" i="4"/>
  <c r="O128" i="4"/>
  <c r="K130" i="4"/>
  <c r="L130" i="4"/>
  <c r="M130" i="4"/>
  <c r="N130" i="4"/>
  <c r="O130" i="4"/>
  <c r="K148" i="4"/>
  <c r="L148" i="4"/>
  <c r="M148" i="4"/>
  <c r="N148" i="4"/>
  <c r="O148" i="4"/>
  <c r="K149" i="4"/>
  <c r="L149" i="4"/>
  <c r="M149" i="4"/>
  <c r="N149" i="4"/>
  <c r="O149" i="4"/>
  <c r="K155" i="4"/>
  <c r="L155" i="4"/>
  <c r="M155" i="4"/>
  <c r="N155" i="4"/>
  <c r="O155" i="4"/>
  <c r="K170" i="4"/>
  <c r="L170" i="4"/>
  <c r="M170" i="4"/>
  <c r="N170" i="4"/>
  <c r="O170" i="4"/>
  <c r="K178" i="4"/>
  <c r="L178" i="4"/>
  <c r="M178" i="4"/>
  <c r="N178" i="4"/>
  <c r="O178" i="4"/>
  <c r="K181" i="4"/>
  <c r="L181" i="4"/>
  <c r="M181" i="4"/>
  <c r="N181" i="4"/>
  <c r="O181" i="4"/>
  <c r="K182" i="4"/>
  <c r="L182" i="4"/>
  <c r="M182" i="4"/>
  <c r="N182" i="4"/>
  <c r="O182" i="4"/>
  <c r="K184" i="4"/>
  <c r="L184" i="4"/>
  <c r="M184" i="4"/>
  <c r="N184" i="4"/>
  <c r="O184" i="4"/>
  <c r="K195" i="4"/>
  <c r="L195" i="4"/>
  <c r="M195" i="4"/>
  <c r="N195" i="4"/>
  <c r="O195" i="4"/>
  <c r="K197" i="4"/>
  <c r="L197" i="4"/>
  <c r="M197" i="4"/>
  <c r="N197" i="4"/>
  <c r="O197" i="4"/>
  <c r="K200" i="4"/>
  <c r="L200" i="4"/>
  <c r="M200" i="4"/>
  <c r="N200" i="4"/>
  <c r="O200" i="4"/>
  <c r="K201" i="4"/>
  <c r="L201" i="4"/>
  <c r="M201" i="4"/>
  <c r="N201" i="4"/>
  <c r="O201" i="4"/>
  <c r="L203" i="4"/>
  <c r="M203" i="4"/>
  <c r="N203" i="4"/>
  <c r="O203" i="4"/>
  <c r="K205" i="4"/>
  <c r="L205" i="4"/>
  <c r="M205" i="4"/>
  <c r="N205" i="4"/>
  <c r="O205" i="4"/>
  <c r="K206" i="4"/>
  <c r="L206" i="4"/>
  <c r="M206" i="4"/>
  <c r="N206" i="4"/>
  <c r="O206" i="4"/>
  <c r="K209" i="4"/>
  <c r="L209" i="4"/>
  <c r="M209" i="4"/>
  <c r="N209" i="4"/>
  <c r="O209" i="4"/>
  <c r="K210" i="4"/>
  <c r="L210" i="4"/>
  <c r="M210" i="4"/>
  <c r="N210" i="4"/>
  <c r="O210" i="4"/>
  <c r="L217" i="4"/>
  <c r="M217" i="4"/>
  <c r="N217" i="4"/>
  <c r="O217" i="4"/>
  <c r="K218" i="4"/>
  <c r="L218" i="4"/>
  <c r="M218" i="4"/>
  <c r="N218" i="4"/>
  <c r="O218" i="4"/>
  <c r="K219" i="4"/>
  <c r="L219" i="4"/>
  <c r="M219" i="4"/>
  <c r="N219" i="4"/>
  <c r="O219" i="4"/>
  <c r="K221" i="4"/>
  <c r="L221" i="4"/>
  <c r="M221" i="4"/>
  <c r="N221" i="4"/>
  <c r="O221" i="4"/>
  <c r="K222" i="4"/>
  <c r="L222" i="4"/>
  <c r="M222" i="4"/>
  <c r="N222" i="4"/>
  <c r="O222" i="4"/>
  <c r="K225" i="4"/>
  <c r="L225" i="4"/>
  <c r="M225" i="4"/>
  <c r="N225" i="4"/>
  <c r="O225" i="4"/>
  <c r="L240" i="4"/>
  <c r="M240" i="4"/>
  <c r="N240" i="4"/>
  <c r="O240" i="4"/>
  <c r="K241" i="4"/>
  <c r="L241" i="4"/>
  <c r="M241" i="4"/>
  <c r="N241" i="4"/>
  <c r="O241" i="4"/>
  <c r="K243" i="4"/>
  <c r="L243" i="4"/>
  <c r="M243" i="4"/>
  <c r="N243" i="4"/>
  <c r="O243" i="4"/>
  <c r="K244" i="4"/>
  <c r="L244" i="4"/>
  <c r="M244" i="4"/>
  <c r="N244" i="4"/>
  <c r="O244" i="4"/>
  <c r="L285" i="4"/>
  <c r="M285" i="4"/>
  <c r="N285" i="4"/>
  <c r="O285" i="4"/>
  <c r="K286" i="4"/>
  <c r="L286" i="4"/>
  <c r="M286" i="4"/>
  <c r="N286" i="4"/>
  <c r="O286" i="4"/>
  <c r="K287" i="4"/>
  <c r="L287" i="4"/>
  <c r="M287" i="4"/>
  <c r="N287" i="4"/>
  <c r="O287" i="4"/>
  <c r="K288" i="4"/>
  <c r="L288" i="4"/>
  <c r="M288" i="4"/>
  <c r="N288" i="4"/>
  <c r="O288" i="4"/>
  <c r="K295" i="4"/>
  <c r="L295" i="4"/>
  <c r="M295" i="4"/>
  <c r="N295" i="4"/>
  <c r="O295" i="4"/>
  <c r="D16" i="19"/>
  <c r="D17" i="19"/>
  <c r="D18" i="19"/>
  <c r="K32" i="19"/>
  <c r="L32" i="19"/>
  <c r="M32" i="19"/>
  <c r="N32" i="19"/>
  <c r="O32" i="19"/>
  <c r="K39" i="19"/>
  <c r="L39" i="19"/>
  <c r="M39" i="19"/>
  <c r="N39" i="19"/>
  <c r="O39" i="19"/>
  <c r="K40" i="19"/>
  <c r="L40" i="19"/>
  <c r="M40" i="19"/>
  <c r="N40" i="19"/>
  <c r="O40" i="19"/>
  <c r="K43" i="19"/>
  <c r="L43" i="19"/>
  <c r="M43" i="19"/>
  <c r="N43" i="19"/>
  <c r="O43" i="19"/>
  <c r="K44" i="19"/>
  <c r="L44" i="19"/>
  <c r="M44" i="19"/>
  <c r="N44" i="19"/>
  <c r="O44" i="19"/>
  <c r="K47" i="19"/>
  <c r="L47" i="19"/>
  <c r="M47" i="19"/>
  <c r="N47" i="19"/>
  <c r="O47" i="19"/>
  <c r="K49" i="19"/>
  <c r="L49" i="19"/>
  <c r="M49" i="19"/>
  <c r="N49" i="19"/>
  <c r="O49" i="19"/>
  <c r="K51" i="19"/>
  <c r="L51" i="19"/>
  <c r="M51" i="19"/>
  <c r="N51" i="19"/>
  <c r="O51" i="19"/>
  <c r="K52" i="19"/>
  <c r="L52" i="19"/>
  <c r="M52" i="19"/>
  <c r="N52" i="19"/>
  <c r="O52" i="19"/>
  <c r="K53" i="19"/>
  <c r="L53" i="19"/>
  <c r="M53" i="19"/>
  <c r="N53" i="19"/>
  <c r="O53" i="19"/>
  <c r="K56" i="19"/>
  <c r="L56" i="19"/>
  <c r="M56" i="19"/>
  <c r="N56" i="19"/>
  <c r="O56" i="19"/>
  <c r="K58" i="19"/>
  <c r="L58" i="19"/>
  <c r="M58" i="19"/>
  <c r="N58" i="19"/>
  <c r="O58" i="19"/>
  <c r="K69" i="19"/>
  <c r="L69" i="19"/>
  <c r="M69" i="19"/>
  <c r="N69" i="19"/>
  <c r="O69" i="19"/>
  <c r="K70" i="19"/>
  <c r="L70" i="19"/>
  <c r="M70" i="19"/>
  <c r="N70" i="19"/>
  <c r="O70" i="19"/>
  <c r="K71" i="19"/>
  <c r="L71" i="19"/>
  <c r="M71" i="19"/>
  <c r="N71" i="19"/>
  <c r="O71" i="19"/>
  <c r="K72" i="19"/>
  <c r="L72" i="19"/>
  <c r="M72" i="19"/>
  <c r="N72" i="19"/>
  <c r="O72" i="19"/>
  <c r="K73" i="19"/>
  <c r="L73" i="19"/>
  <c r="M73" i="19"/>
  <c r="N73" i="19"/>
  <c r="O73" i="19"/>
  <c r="K76" i="19"/>
  <c r="L76" i="19"/>
  <c r="M76" i="19"/>
  <c r="N76" i="19"/>
  <c r="O76" i="19"/>
  <c r="K79" i="19"/>
  <c r="L79" i="19"/>
  <c r="M79" i="19"/>
  <c r="N79" i="19"/>
  <c r="O79" i="19"/>
  <c r="K94" i="19"/>
  <c r="L94" i="19"/>
  <c r="M94" i="19"/>
  <c r="N94" i="19"/>
  <c r="O94" i="19"/>
  <c r="K95" i="19"/>
  <c r="L95" i="19"/>
  <c r="M95" i="19"/>
  <c r="N95" i="19"/>
  <c r="O95" i="19"/>
  <c r="K103" i="19"/>
  <c r="L103" i="19"/>
  <c r="M103" i="19"/>
  <c r="N103" i="19"/>
  <c r="O103" i="19"/>
  <c r="K107" i="19"/>
  <c r="L107" i="19"/>
  <c r="M107" i="19"/>
  <c r="N107" i="19"/>
  <c r="O107" i="19"/>
  <c r="K112" i="19"/>
  <c r="L112" i="19"/>
  <c r="M112" i="19"/>
  <c r="N112" i="19"/>
  <c r="O112" i="19"/>
  <c r="K121" i="19"/>
  <c r="L121" i="19"/>
  <c r="M121" i="19"/>
  <c r="N121" i="19"/>
  <c r="O121" i="19"/>
  <c r="K123" i="19"/>
  <c r="L123" i="19"/>
  <c r="M123" i="19"/>
  <c r="N123" i="19"/>
  <c r="O123" i="19"/>
  <c r="K127" i="19"/>
  <c r="L127" i="19"/>
  <c r="M127" i="19"/>
  <c r="N127" i="19"/>
  <c r="O127" i="19"/>
  <c r="K128" i="19"/>
  <c r="L128" i="19"/>
  <c r="M128" i="19"/>
  <c r="N128" i="19"/>
  <c r="O128" i="19"/>
  <c r="K130" i="19"/>
  <c r="L130" i="19"/>
  <c r="M130" i="19"/>
  <c r="N130" i="19"/>
  <c r="O130" i="19"/>
  <c r="K148" i="19"/>
  <c r="L148" i="19"/>
  <c r="M148" i="19"/>
  <c r="N148" i="19"/>
  <c r="O148" i="19"/>
  <c r="K149" i="19"/>
  <c r="L149" i="19"/>
  <c r="M149" i="19"/>
  <c r="N149" i="19"/>
  <c r="O149" i="19"/>
  <c r="K155" i="19"/>
  <c r="L155" i="19"/>
  <c r="M155" i="19"/>
  <c r="N155" i="19"/>
  <c r="O155" i="19"/>
  <c r="K170" i="19"/>
  <c r="L170" i="19"/>
  <c r="M170" i="19"/>
  <c r="N170" i="19"/>
  <c r="O170" i="19"/>
  <c r="K178" i="19"/>
  <c r="L178" i="19"/>
  <c r="M178" i="19"/>
  <c r="N178" i="19"/>
  <c r="O178" i="19"/>
  <c r="K181" i="19"/>
  <c r="L181" i="19"/>
  <c r="M181" i="19"/>
  <c r="N181" i="19"/>
  <c r="O181" i="19"/>
  <c r="K182" i="19"/>
  <c r="L182" i="19"/>
  <c r="M182" i="19"/>
  <c r="N182" i="19"/>
  <c r="O182" i="19"/>
  <c r="K184" i="19"/>
  <c r="L184" i="19"/>
  <c r="M184" i="19"/>
  <c r="N184" i="19"/>
  <c r="O184" i="19"/>
  <c r="K195" i="19"/>
  <c r="L195" i="19"/>
  <c r="M195" i="19"/>
  <c r="N195" i="19"/>
  <c r="O195" i="19"/>
  <c r="K197" i="19"/>
  <c r="L197" i="19"/>
  <c r="M197" i="19"/>
  <c r="N197" i="19"/>
  <c r="O197" i="19"/>
  <c r="K200" i="19"/>
  <c r="L200" i="19"/>
  <c r="M200" i="19"/>
  <c r="N200" i="19"/>
  <c r="O200" i="19"/>
  <c r="K201" i="19"/>
  <c r="L201" i="19"/>
  <c r="M201" i="19"/>
  <c r="N201" i="19"/>
  <c r="O201" i="19"/>
  <c r="L203" i="19"/>
  <c r="M203" i="19"/>
  <c r="N203" i="19"/>
  <c r="O203" i="19"/>
  <c r="K205" i="19"/>
  <c r="L205" i="19"/>
  <c r="M205" i="19"/>
  <c r="N205" i="19"/>
  <c r="O205" i="19"/>
  <c r="K206" i="19"/>
  <c r="L206" i="19"/>
  <c r="M206" i="19"/>
  <c r="N206" i="19"/>
  <c r="O206" i="19"/>
  <c r="K209" i="19"/>
  <c r="L209" i="19"/>
  <c r="M209" i="19"/>
  <c r="N209" i="19"/>
  <c r="O209" i="19"/>
  <c r="K210" i="19"/>
  <c r="L210" i="19"/>
  <c r="M210" i="19"/>
  <c r="N210" i="19"/>
  <c r="O210" i="19"/>
  <c r="L217" i="19"/>
  <c r="M217" i="19"/>
  <c r="N217" i="19"/>
  <c r="O217" i="19"/>
  <c r="K218" i="19"/>
  <c r="L218" i="19"/>
  <c r="M218" i="19"/>
  <c r="N218" i="19"/>
  <c r="O218" i="19"/>
  <c r="K219" i="19"/>
  <c r="L219" i="19"/>
  <c r="M219" i="19"/>
  <c r="N219" i="19"/>
  <c r="O219" i="19"/>
  <c r="K221" i="19"/>
  <c r="L221" i="19"/>
  <c r="M221" i="19"/>
  <c r="N221" i="19"/>
  <c r="O221" i="19"/>
  <c r="K222" i="19"/>
  <c r="L222" i="19"/>
  <c r="M222" i="19"/>
  <c r="N222" i="19"/>
  <c r="O222" i="19"/>
  <c r="K225" i="19"/>
  <c r="L225" i="19"/>
  <c r="M225" i="19"/>
  <c r="N225" i="19"/>
  <c r="O225" i="19"/>
  <c r="L240" i="19"/>
  <c r="M240" i="19"/>
  <c r="N240" i="19"/>
  <c r="O240" i="19"/>
  <c r="K241" i="19"/>
  <c r="L241" i="19"/>
  <c r="M241" i="19"/>
  <c r="N241" i="19"/>
  <c r="O241" i="19"/>
  <c r="K243" i="19"/>
  <c r="L243" i="19"/>
  <c r="M243" i="19"/>
  <c r="N243" i="19"/>
  <c r="O243" i="19"/>
  <c r="K244" i="19"/>
  <c r="L244" i="19"/>
  <c r="M244" i="19"/>
  <c r="N244" i="19"/>
  <c r="O244" i="19"/>
  <c r="L285" i="19"/>
  <c r="M285" i="19"/>
  <c r="N285" i="19"/>
  <c r="O285" i="19"/>
  <c r="K286" i="19"/>
  <c r="L286" i="19"/>
  <c r="M286" i="19"/>
  <c r="N286" i="19"/>
  <c r="O286" i="19"/>
  <c r="K287" i="19"/>
  <c r="L287" i="19"/>
  <c r="M287" i="19"/>
  <c r="N287" i="19"/>
  <c r="O287" i="19"/>
  <c r="K288" i="19"/>
  <c r="L288" i="19"/>
  <c r="M288" i="19"/>
  <c r="N288" i="19"/>
  <c r="O288" i="19"/>
  <c r="K295" i="19"/>
  <c r="L295" i="19"/>
  <c r="M295" i="19"/>
  <c r="N295" i="19"/>
  <c r="O295" i="19"/>
  <c r="D16" i="20"/>
  <c r="D17" i="20"/>
  <c r="D18" i="20"/>
  <c r="K32" i="20"/>
  <c r="L32" i="20"/>
  <c r="M32" i="20"/>
  <c r="N32" i="20"/>
  <c r="O32" i="20"/>
  <c r="K39" i="20"/>
  <c r="L39" i="20"/>
  <c r="M39" i="20"/>
  <c r="N39" i="20"/>
  <c r="O39" i="20"/>
  <c r="K40" i="20"/>
  <c r="L40" i="20"/>
  <c r="M40" i="20"/>
  <c r="N40" i="20"/>
  <c r="O40" i="20"/>
  <c r="K43" i="20"/>
  <c r="L43" i="20"/>
  <c r="M43" i="20"/>
  <c r="N43" i="20"/>
  <c r="O43" i="20"/>
  <c r="K44" i="20"/>
  <c r="L44" i="20"/>
  <c r="M44" i="20"/>
  <c r="N44" i="20"/>
  <c r="O44" i="20"/>
  <c r="K47" i="20"/>
  <c r="L47" i="20"/>
  <c r="M47" i="20"/>
  <c r="N47" i="20"/>
  <c r="O47" i="20"/>
  <c r="K49" i="20"/>
  <c r="L49" i="20"/>
  <c r="M49" i="20"/>
  <c r="N49" i="20"/>
  <c r="O49" i="20"/>
  <c r="K51" i="20"/>
  <c r="L51" i="20"/>
  <c r="M51" i="20"/>
  <c r="N51" i="20"/>
  <c r="O51" i="20"/>
  <c r="K52" i="20"/>
  <c r="L52" i="20"/>
  <c r="M52" i="20"/>
  <c r="N52" i="20"/>
  <c r="O52" i="20"/>
  <c r="K53" i="20"/>
  <c r="L53" i="20"/>
  <c r="M53" i="20"/>
  <c r="N53" i="20"/>
  <c r="O53" i="20"/>
  <c r="K56" i="20"/>
  <c r="L56" i="20"/>
  <c r="M56" i="20"/>
  <c r="N56" i="20"/>
  <c r="O56" i="20"/>
  <c r="K58" i="20"/>
  <c r="L58" i="20"/>
  <c r="M58" i="20"/>
  <c r="N58" i="20"/>
  <c r="O58" i="20"/>
  <c r="K69" i="20"/>
  <c r="L69" i="20"/>
  <c r="M69" i="20"/>
  <c r="N69" i="20"/>
  <c r="O69" i="20"/>
  <c r="K70" i="20"/>
  <c r="L70" i="20"/>
  <c r="M70" i="20"/>
  <c r="N70" i="20"/>
  <c r="O70" i="20"/>
  <c r="K71" i="20"/>
  <c r="L71" i="20"/>
  <c r="M71" i="20"/>
  <c r="N71" i="20"/>
  <c r="O71" i="20"/>
  <c r="K72" i="20"/>
  <c r="L72" i="20"/>
  <c r="M72" i="20"/>
  <c r="N72" i="20"/>
  <c r="O72" i="20"/>
  <c r="K73" i="20"/>
  <c r="L73" i="20"/>
  <c r="M73" i="20"/>
  <c r="N73" i="20"/>
  <c r="O73" i="20"/>
  <c r="K76" i="20"/>
  <c r="L76" i="20"/>
  <c r="M76" i="20"/>
  <c r="N76" i="20"/>
  <c r="O76" i="20"/>
  <c r="K79" i="20"/>
  <c r="L79" i="20"/>
  <c r="M79" i="20"/>
  <c r="N79" i="20"/>
  <c r="O79" i="20"/>
  <c r="K94" i="20"/>
  <c r="L94" i="20"/>
  <c r="M94" i="20"/>
  <c r="N94" i="20"/>
  <c r="O94" i="20"/>
  <c r="K95" i="20"/>
  <c r="L95" i="20"/>
  <c r="M95" i="20"/>
  <c r="N95" i="20"/>
  <c r="O95" i="20"/>
  <c r="K103" i="20"/>
  <c r="L103" i="20"/>
  <c r="M103" i="20"/>
  <c r="N103" i="20"/>
  <c r="O103" i="20"/>
  <c r="K107" i="20"/>
  <c r="L107" i="20"/>
  <c r="M107" i="20"/>
  <c r="N107" i="20"/>
  <c r="O107" i="20"/>
  <c r="K112" i="20"/>
  <c r="L112" i="20"/>
  <c r="M112" i="20"/>
  <c r="N112" i="20"/>
  <c r="O112" i="20"/>
  <c r="K121" i="20"/>
  <c r="L121" i="20"/>
  <c r="M121" i="20"/>
  <c r="N121" i="20"/>
  <c r="O121" i="20"/>
  <c r="K123" i="20"/>
  <c r="L123" i="20"/>
  <c r="M123" i="20"/>
  <c r="N123" i="20"/>
  <c r="O123" i="20"/>
  <c r="K127" i="20"/>
  <c r="L127" i="20"/>
  <c r="M127" i="20"/>
  <c r="N127" i="20"/>
  <c r="O127" i="20"/>
  <c r="K128" i="20"/>
  <c r="L128" i="20"/>
  <c r="M128" i="20"/>
  <c r="N128" i="20"/>
  <c r="O128" i="20"/>
  <c r="K130" i="20"/>
  <c r="L130" i="20"/>
  <c r="M130" i="20"/>
  <c r="N130" i="20"/>
  <c r="O130" i="20"/>
  <c r="K148" i="20"/>
  <c r="L148" i="20"/>
  <c r="M148" i="20"/>
  <c r="N148" i="20"/>
  <c r="O148" i="20"/>
  <c r="K149" i="20"/>
  <c r="L149" i="20"/>
  <c r="M149" i="20"/>
  <c r="N149" i="20"/>
  <c r="O149" i="20"/>
  <c r="K155" i="20"/>
  <c r="L155" i="20"/>
  <c r="M155" i="20"/>
  <c r="N155" i="20"/>
  <c r="O155" i="20"/>
  <c r="K170" i="20"/>
  <c r="L170" i="20"/>
  <c r="M170" i="20"/>
  <c r="N170" i="20"/>
  <c r="O170" i="20"/>
  <c r="K178" i="20"/>
  <c r="L178" i="20"/>
  <c r="M178" i="20"/>
  <c r="N178" i="20"/>
  <c r="O178" i="20"/>
  <c r="K181" i="20"/>
  <c r="L181" i="20"/>
  <c r="M181" i="20"/>
  <c r="N181" i="20"/>
  <c r="O181" i="20"/>
  <c r="K182" i="20"/>
  <c r="L182" i="20"/>
  <c r="M182" i="20"/>
  <c r="N182" i="20"/>
  <c r="O182" i="20"/>
  <c r="K184" i="20"/>
  <c r="L184" i="20"/>
  <c r="M184" i="20"/>
  <c r="N184" i="20"/>
  <c r="O184" i="20"/>
  <c r="K195" i="20"/>
  <c r="L195" i="20"/>
  <c r="M195" i="20"/>
  <c r="N195" i="20"/>
  <c r="O195" i="20"/>
  <c r="K197" i="20"/>
  <c r="L197" i="20"/>
  <c r="M197" i="20"/>
  <c r="N197" i="20"/>
  <c r="O197" i="20"/>
  <c r="K200" i="20"/>
  <c r="L200" i="20"/>
  <c r="M200" i="20"/>
  <c r="N200" i="20"/>
  <c r="O200" i="20"/>
  <c r="K201" i="20"/>
  <c r="L201" i="20"/>
  <c r="M201" i="20"/>
  <c r="N201" i="20"/>
  <c r="O201" i="20"/>
  <c r="L203" i="20"/>
  <c r="M203" i="20"/>
  <c r="N203" i="20"/>
  <c r="O203" i="20"/>
  <c r="K205" i="20"/>
  <c r="L205" i="20"/>
  <c r="M205" i="20"/>
  <c r="N205" i="20"/>
  <c r="O205" i="20"/>
  <c r="K206" i="20"/>
  <c r="L206" i="20"/>
  <c r="M206" i="20"/>
  <c r="N206" i="20"/>
  <c r="O206" i="20"/>
  <c r="K209" i="20"/>
  <c r="L209" i="20"/>
  <c r="M209" i="20"/>
  <c r="N209" i="20"/>
  <c r="O209" i="20"/>
  <c r="K210" i="20"/>
  <c r="L210" i="20"/>
  <c r="M210" i="20"/>
  <c r="N210" i="20"/>
  <c r="O210" i="20"/>
  <c r="L217" i="20"/>
  <c r="M217" i="20"/>
  <c r="N217" i="20"/>
  <c r="O217" i="20"/>
  <c r="K218" i="20"/>
  <c r="L218" i="20"/>
  <c r="M218" i="20"/>
  <c r="N218" i="20"/>
  <c r="O218" i="20"/>
  <c r="K219" i="20"/>
  <c r="L219" i="20"/>
  <c r="M219" i="20"/>
  <c r="N219" i="20"/>
  <c r="O219" i="20"/>
  <c r="K221" i="20"/>
  <c r="L221" i="20"/>
  <c r="M221" i="20"/>
  <c r="N221" i="20"/>
  <c r="O221" i="20"/>
  <c r="K222" i="20"/>
  <c r="L222" i="20"/>
  <c r="M222" i="20"/>
  <c r="N222" i="20"/>
  <c r="O222" i="20"/>
  <c r="K225" i="20"/>
  <c r="L225" i="20"/>
  <c r="M225" i="20"/>
  <c r="N225" i="20"/>
  <c r="O225" i="20"/>
  <c r="L240" i="20"/>
  <c r="M240" i="20"/>
  <c r="N240" i="20"/>
  <c r="O240" i="20"/>
  <c r="K241" i="20"/>
  <c r="L241" i="20"/>
  <c r="M241" i="20"/>
  <c r="N241" i="20"/>
  <c r="O241" i="20"/>
  <c r="K243" i="20"/>
  <c r="L243" i="20"/>
  <c r="M243" i="20"/>
  <c r="N243" i="20"/>
  <c r="O243" i="20"/>
  <c r="K244" i="20"/>
  <c r="L244" i="20"/>
  <c r="M244" i="20"/>
  <c r="N244" i="20"/>
  <c r="O244" i="20"/>
  <c r="L285" i="20"/>
  <c r="M285" i="20"/>
  <c r="N285" i="20"/>
  <c r="O285" i="20"/>
  <c r="K286" i="20"/>
  <c r="L286" i="20"/>
  <c r="M286" i="20"/>
  <c r="N286" i="20"/>
  <c r="O286" i="20"/>
  <c r="K287" i="20"/>
  <c r="L287" i="20"/>
  <c r="M287" i="20"/>
  <c r="N287" i="20"/>
  <c r="O287" i="20"/>
  <c r="K288" i="20"/>
  <c r="L288" i="20"/>
  <c r="M288" i="20"/>
  <c r="N288" i="20"/>
  <c r="O288" i="20"/>
  <c r="K295" i="20"/>
  <c r="L295" i="20"/>
  <c r="M295" i="20"/>
  <c r="N295" i="20"/>
  <c r="O295" i="20"/>
  <c r="D16" i="25"/>
  <c r="D17" i="25"/>
  <c r="D18" i="25"/>
  <c r="K32" i="25"/>
  <c r="L32" i="25"/>
  <c r="M32" i="25"/>
  <c r="N32" i="25"/>
  <c r="O32" i="25"/>
  <c r="K39" i="25"/>
  <c r="L39" i="25"/>
  <c r="M39" i="25"/>
  <c r="N39" i="25"/>
  <c r="O39" i="25"/>
  <c r="K40" i="25"/>
  <c r="L40" i="25"/>
  <c r="M40" i="25"/>
  <c r="N40" i="25"/>
  <c r="O40" i="25"/>
  <c r="K43" i="25"/>
  <c r="L43" i="25"/>
  <c r="M43" i="25"/>
  <c r="N43" i="25"/>
  <c r="O43" i="25"/>
  <c r="K44" i="25"/>
  <c r="L44" i="25"/>
  <c r="M44" i="25"/>
  <c r="N44" i="25"/>
  <c r="O44" i="25"/>
  <c r="K47" i="25"/>
  <c r="L47" i="25"/>
  <c r="M47" i="25"/>
  <c r="N47" i="25"/>
  <c r="O47" i="25"/>
  <c r="K49" i="25"/>
  <c r="L49" i="25"/>
  <c r="M49" i="25"/>
  <c r="N49" i="25"/>
  <c r="O49" i="25"/>
  <c r="K51" i="25"/>
  <c r="L51" i="25"/>
  <c r="M51" i="25"/>
  <c r="N51" i="25"/>
  <c r="O51" i="25"/>
  <c r="K52" i="25"/>
  <c r="L52" i="25"/>
  <c r="M52" i="25"/>
  <c r="N52" i="25"/>
  <c r="O52" i="25"/>
  <c r="K53" i="25"/>
  <c r="L53" i="25"/>
  <c r="M53" i="25"/>
  <c r="N53" i="25"/>
  <c r="O53" i="25"/>
  <c r="K56" i="25"/>
  <c r="L56" i="25"/>
  <c r="M56" i="25"/>
  <c r="N56" i="25"/>
  <c r="O56" i="25"/>
  <c r="K58" i="25"/>
  <c r="L58" i="25"/>
  <c r="M58" i="25"/>
  <c r="N58" i="25"/>
  <c r="O58" i="25"/>
  <c r="K69" i="25"/>
  <c r="L69" i="25"/>
  <c r="M69" i="25"/>
  <c r="N69" i="25"/>
  <c r="O69" i="25"/>
  <c r="K70" i="25"/>
  <c r="L70" i="25"/>
  <c r="M70" i="25"/>
  <c r="N70" i="25"/>
  <c r="O70" i="25"/>
  <c r="K71" i="25"/>
  <c r="L71" i="25"/>
  <c r="M71" i="25"/>
  <c r="N71" i="25"/>
  <c r="O71" i="25"/>
  <c r="K72" i="25"/>
  <c r="L72" i="25"/>
  <c r="M72" i="25"/>
  <c r="N72" i="25"/>
  <c r="O72" i="25"/>
  <c r="K73" i="25"/>
  <c r="L73" i="25"/>
  <c r="M73" i="25"/>
  <c r="N73" i="25"/>
  <c r="O73" i="25"/>
  <c r="K76" i="25"/>
  <c r="L76" i="25"/>
  <c r="M76" i="25"/>
  <c r="N76" i="25"/>
  <c r="O76" i="25"/>
  <c r="K79" i="25"/>
  <c r="L79" i="25"/>
  <c r="M79" i="25"/>
  <c r="N79" i="25"/>
  <c r="O79" i="25"/>
  <c r="K94" i="25"/>
  <c r="L94" i="25"/>
  <c r="M94" i="25"/>
  <c r="N94" i="25"/>
  <c r="O94" i="25"/>
  <c r="K95" i="25"/>
  <c r="L95" i="25"/>
  <c r="M95" i="25"/>
  <c r="N95" i="25"/>
  <c r="O95" i="25"/>
  <c r="K103" i="25"/>
  <c r="L103" i="25"/>
  <c r="M103" i="25"/>
  <c r="N103" i="25"/>
  <c r="O103" i="25"/>
  <c r="K107" i="25"/>
  <c r="L107" i="25"/>
  <c r="M107" i="25"/>
  <c r="N107" i="25"/>
  <c r="O107" i="25"/>
  <c r="K112" i="25"/>
  <c r="L112" i="25"/>
  <c r="M112" i="25"/>
  <c r="N112" i="25"/>
  <c r="O112" i="25"/>
  <c r="K121" i="25"/>
  <c r="L121" i="25"/>
  <c r="M121" i="25"/>
  <c r="N121" i="25"/>
  <c r="O121" i="25"/>
  <c r="K123" i="25"/>
  <c r="L123" i="25"/>
  <c r="M123" i="25"/>
  <c r="N123" i="25"/>
  <c r="O123" i="25"/>
  <c r="K127" i="25"/>
  <c r="L127" i="25"/>
  <c r="M127" i="25"/>
  <c r="N127" i="25"/>
  <c r="O127" i="25"/>
  <c r="K128" i="25"/>
  <c r="L128" i="25"/>
  <c r="M128" i="25"/>
  <c r="N128" i="25"/>
  <c r="O128" i="25"/>
  <c r="K139" i="25"/>
  <c r="L139" i="25"/>
  <c r="M139" i="25"/>
  <c r="N139" i="25"/>
  <c r="O139" i="25"/>
  <c r="K142" i="25"/>
  <c r="L142" i="25"/>
  <c r="M142" i="25"/>
  <c r="N142" i="25"/>
  <c r="O142" i="25"/>
  <c r="K160" i="25"/>
  <c r="L160" i="25"/>
  <c r="M160" i="25"/>
  <c r="N160" i="25"/>
  <c r="O160" i="25"/>
  <c r="K161" i="25"/>
  <c r="L161" i="25"/>
  <c r="M161" i="25"/>
  <c r="N161" i="25"/>
  <c r="O161" i="25"/>
  <c r="K167" i="25"/>
  <c r="L167" i="25"/>
  <c r="M167" i="25"/>
  <c r="N167" i="25"/>
  <c r="O167" i="25"/>
  <c r="K182" i="25"/>
  <c r="L182" i="25"/>
  <c r="M182" i="25"/>
  <c r="N182" i="25"/>
  <c r="O182" i="25"/>
  <c r="K190" i="25"/>
  <c r="L190" i="25"/>
  <c r="M190" i="25"/>
  <c r="N190" i="25"/>
  <c r="O190" i="25"/>
  <c r="K193" i="25"/>
  <c r="L193" i="25"/>
  <c r="M193" i="25"/>
  <c r="N193" i="25"/>
  <c r="O193" i="25"/>
  <c r="K194" i="25"/>
  <c r="L194" i="25"/>
  <c r="M194" i="25"/>
  <c r="N194" i="25"/>
  <c r="O194" i="25"/>
  <c r="K196" i="25"/>
  <c r="L196" i="25"/>
  <c r="M196" i="25"/>
  <c r="N196" i="25"/>
  <c r="O196" i="25"/>
  <c r="K207" i="25"/>
  <c r="L207" i="25"/>
  <c r="M207" i="25"/>
  <c r="N207" i="25"/>
  <c r="O207" i="25"/>
  <c r="K209" i="25"/>
  <c r="L209" i="25"/>
  <c r="M209" i="25"/>
  <c r="N209" i="25"/>
  <c r="O209" i="25"/>
  <c r="K212" i="25"/>
  <c r="L212" i="25"/>
  <c r="M212" i="25"/>
  <c r="N212" i="25"/>
  <c r="O212" i="25"/>
  <c r="K213" i="25"/>
  <c r="L213" i="25"/>
  <c r="M213" i="25"/>
  <c r="N213" i="25"/>
  <c r="O213" i="25"/>
  <c r="L215" i="25"/>
  <c r="M215" i="25"/>
  <c r="N215" i="25"/>
  <c r="O215" i="25"/>
  <c r="K217" i="25"/>
  <c r="L217" i="25"/>
  <c r="M217" i="25"/>
  <c r="N217" i="25"/>
  <c r="O217" i="25"/>
  <c r="K218" i="25"/>
  <c r="L218" i="25"/>
  <c r="M218" i="25"/>
  <c r="N218" i="25"/>
  <c r="O218" i="25"/>
  <c r="K221" i="25"/>
  <c r="L221" i="25"/>
  <c r="M221" i="25"/>
  <c r="N221" i="25"/>
  <c r="O221" i="25"/>
  <c r="K222" i="25"/>
  <c r="L222" i="25"/>
  <c r="M222" i="25"/>
  <c r="N222" i="25"/>
  <c r="O222" i="25"/>
  <c r="L229" i="25"/>
  <c r="M229" i="25"/>
  <c r="N229" i="25"/>
  <c r="O229" i="25"/>
  <c r="K230" i="25"/>
  <c r="L230" i="25"/>
  <c r="M230" i="25"/>
  <c r="N230" i="25"/>
  <c r="O230" i="25"/>
  <c r="K231" i="25"/>
  <c r="L231" i="25"/>
  <c r="M231" i="25"/>
  <c r="N231" i="25"/>
  <c r="O231" i="25"/>
  <c r="K233" i="25"/>
  <c r="L233" i="25"/>
  <c r="M233" i="25"/>
  <c r="N233" i="25"/>
  <c r="O233" i="25"/>
  <c r="K234" i="25"/>
  <c r="L234" i="25"/>
  <c r="M234" i="25"/>
  <c r="N234" i="25"/>
  <c r="O234" i="25"/>
  <c r="K237" i="25"/>
  <c r="L237" i="25"/>
  <c r="M237" i="25"/>
  <c r="N237" i="25"/>
  <c r="O237" i="25"/>
  <c r="L252" i="25"/>
  <c r="M252" i="25"/>
  <c r="N252" i="25"/>
  <c r="O252" i="25"/>
  <c r="K253" i="25"/>
  <c r="L253" i="25"/>
  <c r="M253" i="25"/>
  <c r="N253" i="25"/>
  <c r="O253" i="25"/>
  <c r="K255" i="25"/>
  <c r="L255" i="25"/>
  <c r="M255" i="25"/>
  <c r="N255" i="25"/>
  <c r="O255" i="25"/>
  <c r="K256" i="25"/>
  <c r="L256" i="25"/>
  <c r="M256" i="25"/>
  <c r="N256" i="25"/>
  <c r="O256" i="25"/>
  <c r="L297" i="25"/>
  <c r="M297" i="25"/>
  <c r="N297" i="25"/>
  <c r="O297" i="25"/>
  <c r="K298" i="25"/>
  <c r="L298" i="25"/>
  <c r="M298" i="25"/>
  <c r="N298" i="25"/>
  <c r="O298" i="25"/>
  <c r="K299" i="25"/>
  <c r="L299" i="25"/>
  <c r="M299" i="25"/>
  <c r="N299" i="25"/>
  <c r="O299" i="25"/>
  <c r="K300" i="25"/>
  <c r="L300" i="25"/>
  <c r="M300" i="25"/>
  <c r="N300" i="25"/>
  <c r="O300" i="25"/>
  <c r="K307" i="25"/>
  <c r="L307" i="25"/>
  <c r="M307" i="25"/>
  <c r="N307" i="25"/>
  <c r="O307" i="25"/>
  <c r="D16" i="27"/>
  <c r="D17" i="27"/>
  <c r="K31" i="27"/>
  <c r="L31" i="27"/>
  <c r="M31" i="27"/>
  <c r="N31" i="27"/>
  <c r="O31" i="27"/>
  <c r="K32" i="27"/>
  <c r="L32" i="27"/>
  <c r="M32" i="27"/>
  <c r="N32" i="27"/>
  <c r="O32" i="27"/>
  <c r="K33" i="27"/>
  <c r="L33" i="27"/>
  <c r="M33" i="27"/>
  <c r="N33" i="27"/>
  <c r="O33" i="27"/>
  <c r="K34" i="27"/>
  <c r="L34" i="27"/>
  <c r="M34" i="27"/>
  <c r="N34" i="27"/>
  <c r="O34" i="27"/>
  <c r="K35" i="27"/>
  <c r="L35" i="27"/>
  <c r="M35" i="27"/>
  <c r="N35" i="27"/>
  <c r="O35" i="27"/>
  <c r="K38" i="27"/>
  <c r="L38" i="27"/>
  <c r="M38" i="27"/>
  <c r="N38" i="27"/>
  <c r="O38" i="27"/>
  <c r="K41" i="27"/>
  <c r="L41" i="27"/>
  <c r="M41" i="27"/>
  <c r="N41" i="27"/>
  <c r="O41" i="27"/>
  <c r="K56" i="27"/>
  <c r="L56" i="27"/>
  <c r="M56" i="27"/>
  <c r="N56" i="27"/>
  <c r="O56" i="27"/>
  <c r="K57" i="27"/>
  <c r="L57" i="27"/>
  <c r="M57" i="27"/>
  <c r="N57" i="27"/>
  <c r="O57" i="27"/>
  <c r="K88" i="27"/>
  <c r="L88" i="27"/>
  <c r="M88" i="27"/>
  <c r="N88" i="27"/>
  <c r="O88" i="27"/>
  <c r="K100" i="27"/>
  <c r="L100" i="27"/>
  <c r="M100" i="27"/>
  <c r="N100" i="27"/>
  <c r="O100" i="27"/>
  <c r="K106" i="27"/>
  <c r="L106" i="27"/>
  <c r="M106" i="27"/>
  <c r="N106" i="27"/>
  <c r="O106" i="27"/>
  <c r="K114" i="27"/>
  <c r="L114" i="27"/>
  <c r="M114" i="27"/>
  <c r="N114" i="27"/>
  <c r="O114" i="27"/>
  <c r="K117" i="27"/>
  <c r="L117" i="27"/>
  <c r="M117" i="27"/>
  <c r="N117" i="27"/>
  <c r="O117" i="27"/>
  <c r="K118" i="27"/>
  <c r="L118" i="27"/>
  <c r="M118" i="27"/>
  <c r="N118" i="27"/>
  <c r="O118" i="27"/>
  <c r="K120" i="27"/>
  <c r="L120" i="27"/>
  <c r="M120" i="27"/>
  <c r="N120" i="27"/>
  <c r="O120" i="27"/>
  <c r="K131" i="27"/>
  <c r="L131" i="27"/>
  <c r="M131" i="27"/>
  <c r="N131" i="27"/>
  <c r="O131" i="27"/>
  <c r="K133" i="27"/>
  <c r="L133" i="27"/>
  <c r="M133" i="27"/>
  <c r="N133" i="27"/>
  <c r="O133" i="27"/>
  <c r="K136" i="27"/>
  <c r="L136" i="27"/>
  <c r="M136" i="27"/>
  <c r="N136" i="27"/>
  <c r="O136" i="27"/>
  <c r="K137" i="27"/>
  <c r="L137" i="27"/>
  <c r="M137" i="27"/>
  <c r="N137" i="27"/>
  <c r="O137" i="27"/>
  <c r="L139" i="27"/>
  <c r="M139" i="27"/>
  <c r="N139" i="27"/>
  <c r="O139" i="27"/>
  <c r="K141" i="27"/>
  <c r="L141" i="27"/>
  <c r="M141" i="27"/>
  <c r="N141" i="27"/>
  <c r="O141" i="27"/>
  <c r="K142" i="27"/>
  <c r="L142" i="27"/>
  <c r="M142" i="27"/>
  <c r="N142" i="27"/>
  <c r="O142" i="27"/>
  <c r="K145" i="27"/>
  <c r="L145" i="27"/>
  <c r="M145" i="27"/>
  <c r="N145" i="27"/>
  <c r="O145" i="27"/>
  <c r="K146" i="27"/>
  <c r="L146" i="27"/>
  <c r="M146" i="27"/>
  <c r="N146" i="27"/>
  <c r="O146" i="27"/>
  <c r="L153" i="27"/>
  <c r="M153" i="27"/>
  <c r="N153" i="27"/>
  <c r="O153" i="27"/>
  <c r="K154" i="27"/>
  <c r="L154" i="27"/>
  <c r="M154" i="27"/>
  <c r="N154" i="27"/>
  <c r="O154" i="27"/>
  <c r="K155" i="27"/>
  <c r="L155" i="27"/>
  <c r="M155" i="27"/>
  <c r="N155" i="27"/>
  <c r="O155" i="27"/>
  <c r="K157" i="27"/>
  <c r="L157" i="27"/>
  <c r="M157" i="27"/>
  <c r="N157" i="27"/>
  <c r="O157" i="27"/>
  <c r="K158" i="27"/>
  <c r="L158" i="27"/>
  <c r="M158" i="27"/>
  <c r="N158" i="27"/>
  <c r="O158" i="27"/>
  <c r="K161" i="27"/>
  <c r="L161" i="27"/>
  <c r="M161" i="27"/>
  <c r="N161" i="27"/>
  <c r="O161" i="27"/>
  <c r="L176" i="27"/>
  <c r="M176" i="27"/>
  <c r="N176" i="27"/>
  <c r="O176" i="27"/>
  <c r="K177" i="27"/>
  <c r="L177" i="27"/>
  <c r="M177" i="27"/>
  <c r="N177" i="27"/>
  <c r="O177" i="27"/>
  <c r="K178" i="27"/>
  <c r="L178" i="27"/>
  <c r="M178" i="27"/>
  <c r="N178" i="27"/>
  <c r="O178" i="27"/>
  <c r="K180" i="27"/>
  <c r="L180" i="27"/>
  <c r="M180" i="27"/>
  <c r="N180" i="27"/>
  <c r="O180" i="27"/>
  <c r="K181" i="27"/>
  <c r="L181" i="27"/>
  <c r="M181" i="27"/>
  <c r="N181" i="27"/>
  <c r="O181" i="27"/>
  <c r="K187" i="27"/>
  <c r="L187" i="27"/>
  <c r="M187" i="27"/>
  <c r="N187" i="27"/>
  <c r="O187" i="27"/>
  <c r="D16" i="22"/>
  <c r="D17" i="22"/>
  <c r="D18" i="22"/>
  <c r="K32" i="22"/>
  <c r="L32" i="22"/>
  <c r="M32" i="22"/>
  <c r="N32" i="22"/>
  <c r="O32" i="22"/>
  <c r="K33" i="22"/>
  <c r="L33" i="22"/>
  <c r="M33" i="22"/>
  <c r="N33" i="22"/>
  <c r="O33" i="22"/>
  <c r="K34" i="22"/>
  <c r="L34" i="22"/>
  <c r="M34" i="22"/>
  <c r="N34" i="22"/>
  <c r="O34" i="22"/>
  <c r="K35" i="22"/>
  <c r="L35" i="22"/>
  <c r="M35" i="22"/>
  <c r="N35" i="22"/>
  <c r="O35" i="22"/>
  <c r="K36" i="22"/>
  <c r="L36" i="22"/>
  <c r="M36" i="22"/>
  <c r="N36" i="22"/>
  <c r="O36" i="22"/>
  <c r="K39" i="22"/>
  <c r="L39" i="22"/>
  <c r="M39" i="22"/>
  <c r="N39" i="22"/>
  <c r="O39" i="22"/>
  <c r="K42" i="22"/>
  <c r="L42" i="22"/>
  <c r="M42" i="22"/>
  <c r="N42" i="22"/>
  <c r="O42" i="22"/>
  <c r="K57" i="22"/>
  <c r="L57" i="22"/>
  <c r="M57" i="22"/>
  <c r="N57" i="22"/>
  <c r="O57" i="22"/>
  <c r="K58" i="22"/>
  <c r="L58" i="22"/>
  <c r="M58" i="22"/>
  <c r="N58" i="22"/>
  <c r="O58" i="22"/>
  <c r="K66" i="22"/>
  <c r="L66" i="22"/>
  <c r="M66" i="22"/>
  <c r="N66" i="22"/>
  <c r="O66" i="22"/>
  <c r="K70" i="22"/>
  <c r="L70" i="22"/>
  <c r="M70" i="22"/>
  <c r="N70" i="22"/>
  <c r="O70" i="22"/>
  <c r="K75" i="22"/>
  <c r="L75" i="22"/>
  <c r="M75" i="22"/>
  <c r="N75" i="22"/>
  <c r="O75" i="22"/>
  <c r="K84" i="22"/>
  <c r="L84" i="22"/>
  <c r="M84" i="22"/>
  <c r="N84" i="22"/>
  <c r="O84" i="22"/>
  <c r="K86" i="22"/>
  <c r="L86" i="22"/>
  <c r="M86" i="22"/>
  <c r="N86" i="22"/>
  <c r="O86" i="22"/>
  <c r="K90" i="22"/>
  <c r="L90" i="22"/>
  <c r="M90" i="22"/>
  <c r="N90" i="22"/>
  <c r="O90" i="22"/>
  <c r="K91" i="22"/>
  <c r="L91" i="22"/>
  <c r="M91" i="22"/>
  <c r="N91" i="22"/>
  <c r="O91" i="22"/>
  <c r="K93" i="22"/>
  <c r="L93" i="22"/>
  <c r="M93" i="22"/>
  <c r="N93" i="22"/>
  <c r="O93" i="22"/>
  <c r="K111" i="22"/>
  <c r="L111" i="22"/>
  <c r="M111" i="22"/>
  <c r="N111" i="22"/>
  <c r="O111" i="22"/>
  <c r="K112" i="22"/>
  <c r="L112" i="22"/>
  <c r="M112" i="22"/>
  <c r="N112" i="22"/>
  <c r="O112" i="22"/>
  <c r="K118" i="22"/>
  <c r="L118" i="22"/>
  <c r="M118" i="22"/>
  <c r="N118" i="22"/>
  <c r="O118" i="22"/>
  <c r="K132" i="22"/>
  <c r="L132" i="22"/>
  <c r="M132" i="22"/>
  <c r="N132" i="22"/>
  <c r="O132" i="22"/>
  <c r="K140" i="22"/>
  <c r="L140" i="22"/>
  <c r="M140" i="22"/>
  <c r="N140" i="22"/>
  <c r="O140" i="22"/>
  <c r="K143" i="22"/>
  <c r="L143" i="22"/>
  <c r="M143" i="22"/>
  <c r="N143" i="22"/>
  <c r="O143" i="22"/>
  <c r="K144" i="22"/>
  <c r="L144" i="22"/>
  <c r="M144" i="22"/>
  <c r="N144" i="22"/>
  <c r="O144" i="22"/>
  <c r="K146" i="22"/>
  <c r="L146" i="22"/>
  <c r="M146" i="22"/>
  <c r="N146" i="22"/>
  <c r="O146" i="22"/>
  <c r="K157" i="22"/>
  <c r="L157" i="22"/>
  <c r="M157" i="22"/>
  <c r="N157" i="22"/>
  <c r="O157" i="22"/>
  <c r="K159" i="22"/>
  <c r="L159" i="22"/>
  <c r="M159" i="22"/>
  <c r="N159" i="22"/>
  <c r="O159" i="22"/>
  <c r="K162" i="22"/>
  <c r="L162" i="22"/>
  <c r="M162" i="22"/>
  <c r="N162" i="22"/>
  <c r="O162" i="22"/>
  <c r="K163" i="22"/>
  <c r="L163" i="22"/>
  <c r="M163" i="22"/>
  <c r="N163" i="22"/>
  <c r="O163" i="22"/>
  <c r="L165" i="22"/>
  <c r="M165" i="22"/>
  <c r="N165" i="22"/>
  <c r="O165" i="22"/>
  <c r="K167" i="22"/>
  <c r="L167" i="22"/>
  <c r="M167" i="22"/>
  <c r="N167" i="22"/>
  <c r="O167" i="22"/>
  <c r="K168" i="22"/>
  <c r="L168" i="22"/>
  <c r="M168" i="22"/>
  <c r="N168" i="22"/>
  <c r="O168" i="22"/>
  <c r="K171" i="22"/>
  <c r="L171" i="22"/>
  <c r="M171" i="22"/>
  <c r="N171" i="22"/>
  <c r="O171" i="22"/>
  <c r="K172" i="22"/>
  <c r="L172" i="22"/>
  <c r="M172" i="22"/>
  <c r="N172" i="22"/>
  <c r="O172" i="22"/>
  <c r="L179" i="22"/>
  <c r="M179" i="22"/>
  <c r="N179" i="22"/>
  <c r="O179" i="22"/>
  <c r="K180" i="22"/>
  <c r="L180" i="22"/>
  <c r="M180" i="22"/>
  <c r="N180" i="22"/>
  <c r="O180" i="22"/>
  <c r="K181" i="22"/>
  <c r="L181" i="22"/>
  <c r="M181" i="22"/>
  <c r="N181" i="22"/>
  <c r="O181" i="22"/>
  <c r="K183" i="22"/>
  <c r="L183" i="22"/>
  <c r="M183" i="22"/>
  <c r="N183" i="22"/>
  <c r="O183" i="22"/>
  <c r="K184" i="22"/>
  <c r="L184" i="22"/>
  <c r="M184" i="22"/>
  <c r="N184" i="22"/>
  <c r="O184" i="22"/>
  <c r="K187" i="22"/>
  <c r="L187" i="22"/>
  <c r="M187" i="22"/>
  <c r="N187" i="22"/>
  <c r="O187" i="22"/>
  <c r="L202" i="22"/>
  <c r="M202" i="22"/>
  <c r="N202" i="22"/>
  <c r="O202" i="22"/>
  <c r="K203" i="22"/>
  <c r="L203" i="22"/>
  <c r="M203" i="22"/>
  <c r="N203" i="22"/>
  <c r="O203" i="22"/>
  <c r="K205" i="22"/>
  <c r="L205" i="22"/>
  <c r="M205" i="22"/>
  <c r="N205" i="22"/>
  <c r="O205" i="22"/>
  <c r="K206" i="22"/>
  <c r="L206" i="22"/>
  <c r="M206" i="22"/>
  <c r="N206" i="22"/>
  <c r="O206" i="22"/>
  <c r="L247" i="22"/>
  <c r="M247" i="22"/>
  <c r="N247" i="22"/>
  <c r="O247" i="22"/>
  <c r="K248" i="22"/>
  <c r="L248" i="22"/>
  <c r="M248" i="22"/>
  <c r="N248" i="22"/>
  <c r="O248" i="22"/>
  <c r="K249" i="22"/>
  <c r="L249" i="22"/>
  <c r="M249" i="22"/>
  <c r="N249" i="22"/>
  <c r="O249" i="22"/>
  <c r="K250" i="22"/>
  <c r="L250" i="22"/>
  <c r="M250" i="22"/>
  <c r="N250" i="22"/>
  <c r="O250" i="22"/>
  <c r="K257" i="22"/>
  <c r="L257" i="22"/>
  <c r="M257" i="22"/>
  <c r="N257" i="22"/>
  <c r="O257" i="22"/>
  <c r="D16" i="28"/>
  <c r="D17" i="28"/>
  <c r="D18" i="28"/>
  <c r="K32" i="28"/>
  <c r="L32" i="28"/>
  <c r="M32" i="28"/>
  <c r="N32" i="28"/>
  <c r="O32" i="28"/>
  <c r="K39" i="28"/>
  <c r="L39" i="28"/>
  <c r="M39" i="28"/>
  <c r="N39" i="28"/>
  <c r="O39" i="28"/>
  <c r="K40" i="28"/>
  <c r="L40" i="28"/>
  <c r="M40" i="28"/>
  <c r="N40" i="28"/>
  <c r="O40" i="28"/>
  <c r="K43" i="28"/>
  <c r="L43" i="28"/>
  <c r="M43" i="28"/>
  <c r="N43" i="28"/>
  <c r="O43" i="28"/>
  <c r="K44" i="28"/>
  <c r="L44" i="28"/>
  <c r="M44" i="28"/>
  <c r="N44" i="28"/>
  <c r="O44" i="28"/>
  <c r="K47" i="28"/>
  <c r="L47" i="28"/>
  <c r="M47" i="28"/>
  <c r="N47" i="28"/>
  <c r="O47" i="28"/>
  <c r="K49" i="28"/>
  <c r="L49" i="28"/>
  <c r="M49" i="28"/>
  <c r="N49" i="28"/>
  <c r="O49" i="28"/>
  <c r="K51" i="28"/>
  <c r="L51" i="28"/>
  <c r="M51" i="28"/>
  <c r="N51" i="28"/>
  <c r="O51" i="28"/>
  <c r="K52" i="28"/>
  <c r="L52" i="28"/>
  <c r="M52" i="28"/>
  <c r="N52" i="28"/>
  <c r="O52" i="28"/>
  <c r="K53" i="28"/>
  <c r="L53" i="28"/>
  <c r="M53" i="28"/>
  <c r="N53" i="28"/>
  <c r="O53" i="28"/>
  <c r="K56" i="28"/>
  <c r="L56" i="28"/>
  <c r="M56" i="28"/>
  <c r="N56" i="28"/>
  <c r="O56" i="28"/>
  <c r="K58" i="28"/>
  <c r="L58" i="28"/>
  <c r="M58" i="28"/>
  <c r="N58" i="28"/>
  <c r="O58" i="28"/>
  <c r="K69" i="28"/>
  <c r="L69" i="28"/>
  <c r="M69" i="28"/>
  <c r="N69" i="28"/>
  <c r="O69" i="28"/>
  <c r="K70" i="28"/>
  <c r="L70" i="28"/>
  <c r="M70" i="28"/>
  <c r="N70" i="28"/>
  <c r="O70" i="28"/>
  <c r="K71" i="28"/>
  <c r="L71" i="28"/>
  <c r="M71" i="28"/>
  <c r="N71" i="28"/>
  <c r="O71" i="28"/>
  <c r="K72" i="28"/>
  <c r="L72" i="28"/>
  <c r="M72" i="28"/>
  <c r="N72" i="28"/>
  <c r="O72" i="28"/>
  <c r="K73" i="28"/>
  <c r="L73" i="28"/>
  <c r="M73" i="28"/>
  <c r="N73" i="28"/>
  <c r="O73" i="28"/>
  <c r="K76" i="28"/>
  <c r="L76" i="28"/>
  <c r="M76" i="28"/>
  <c r="N76" i="28"/>
  <c r="O76" i="28"/>
  <c r="K79" i="28"/>
  <c r="L79" i="28"/>
  <c r="M79" i="28"/>
  <c r="N79" i="28"/>
  <c r="O79" i="28"/>
  <c r="K94" i="28"/>
  <c r="L94" i="28"/>
  <c r="M94" i="28"/>
  <c r="N94" i="28"/>
  <c r="O94" i="28"/>
  <c r="K95" i="28"/>
  <c r="L95" i="28"/>
  <c r="M95" i="28"/>
  <c r="N95" i="28"/>
  <c r="O95" i="28"/>
  <c r="K103" i="28"/>
  <c r="L103" i="28"/>
  <c r="M103" i="28"/>
  <c r="N103" i="28"/>
  <c r="O103" i="28"/>
  <c r="K107" i="28"/>
  <c r="L107" i="28"/>
  <c r="M107" i="28"/>
  <c r="N107" i="28"/>
  <c r="O107" i="28"/>
  <c r="K112" i="28"/>
  <c r="L112" i="28"/>
  <c r="M112" i="28"/>
  <c r="N112" i="28"/>
  <c r="O112" i="28"/>
  <c r="K121" i="28"/>
  <c r="L121" i="28"/>
  <c r="M121" i="28"/>
  <c r="N121" i="28"/>
  <c r="O121" i="28"/>
  <c r="K123" i="28"/>
  <c r="L123" i="28"/>
  <c r="M123" i="28"/>
  <c r="N123" i="28"/>
  <c r="O123" i="28"/>
  <c r="K127" i="28"/>
  <c r="L127" i="28"/>
  <c r="M127" i="28"/>
  <c r="N127" i="28"/>
  <c r="O127" i="28"/>
  <c r="K128" i="28"/>
  <c r="L128" i="28"/>
  <c r="M128" i="28"/>
  <c r="N128" i="28"/>
  <c r="O128" i="28"/>
  <c r="K139" i="28"/>
  <c r="L139" i="28"/>
  <c r="M139" i="28"/>
  <c r="N139" i="28"/>
  <c r="O139" i="28"/>
  <c r="K142" i="28"/>
  <c r="L142" i="28"/>
  <c r="M142" i="28"/>
  <c r="N142" i="28"/>
  <c r="O142" i="28"/>
  <c r="K160" i="28"/>
  <c r="L160" i="28"/>
  <c r="M160" i="28"/>
  <c r="N160" i="28"/>
  <c r="O160" i="28"/>
  <c r="K161" i="28"/>
  <c r="L161" i="28"/>
  <c r="M161" i="28"/>
  <c r="N161" i="28"/>
  <c r="O161" i="28"/>
  <c r="K167" i="28"/>
  <c r="L167" i="28"/>
  <c r="M167" i="28"/>
  <c r="N167" i="28"/>
  <c r="O167" i="28"/>
  <c r="K182" i="28"/>
  <c r="L182" i="28"/>
  <c r="M182" i="28"/>
  <c r="N182" i="28"/>
  <c r="O182" i="28"/>
  <c r="K190" i="28"/>
  <c r="L190" i="28"/>
  <c r="M190" i="28"/>
  <c r="N190" i="28"/>
  <c r="O190" i="28"/>
  <c r="K193" i="28"/>
  <c r="L193" i="28"/>
  <c r="M193" i="28"/>
  <c r="N193" i="28"/>
  <c r="O193" i="28"/>
  <c r="K194" i="28"/>
  <c r="L194" i="28"/>
  <c r="M194" i="28"/>
  <c r="N194" i="28"/>
  <c r="O194" i="28"/>
  <c r="K196" i="28"/>
  <c r="L196" i="28"/>
  <c r="M196" i="28"/>
  <c r="N196" i="28"/>
  <c r="O196" i="28"/>
  <c r="K207" i="28"/>
  <c r="L207" i="28"/>
  <c r="M207" i="28"/>
  <c r="N207" i="28"/>
  <c r="O207" i="28"/>
  <c r="K209" i="28"/>
  <c r="L209" i="28"/>
  <c r="M209" i="28"/>
  <c r="N209" i="28"/>
  <c r="O209" i="28"/>
  <c r="K212" i="28"/>
  <c r="L212" i="28"/>
  <c r="M212" i="28"/>
  <c r="N212" i="28"/>
  <c r="O212" i="28"/>
  <c r="K213" i="28"/>
  <c r="L213" i="28"/>
  <c r="M213" i="28"/>
  <c r="N213" i="28"/>
  <c r="O213" i="28"/>
  <c r="L215" i="28"/>
  <c r="M215" i="28"/>
  <c r="N215" i="28"/>
  <c r="O215" i="28"/>
  <c r="K217" i="28"/>
  <c r="L217" i="28"/>
  <c r="M217" i="28"/>
  <c r="N217" i="28"/>
  <c r="O217" i="28"/>
  <c r="K218" i="28"/>
  <c r="L218" i="28"/>
  <c r="M218" i="28"/>
  <c r="N218" i="28"/>
  <c r="O218" i="28"/>
  <c r="K221" i="28"/>
  <c r="L221" i="28"/>
  <c r="M221" i="28"/>
  <c r="N221" i="28"/>
  <c r="O221" i="28"/>
  <c r="K222" i="28"/>
  <c r="L222" i="28"/>
  <c r="M222" i="28"/>
  <c r="N222" i="28"/>
  <c r="O222" i="28"/>
  <c r="L229" i="28"/>
  <c r="M229" i="28"/>
  <c r="N229" i="28"/>
  <c r="O229" i="28"/>
  <c r="K230" i="28"/>
  <c r="L230" i="28"/>
  <c r="M230" i="28"/>
  <c r="N230" i="28"/>
  <c r="O230" i="28"/>
  <c r="K231" i="28"/>
  <c r="L231" i="28"/>
  <c r="M231" i="28"/>
  <c r="N231" i="28"/>
  <c r="O231" i="28"/>
  <c r="K233" i="28"/>
  <c r="L233" i="28"/>
  <c r="M233" i="28"/>
  <c r="N233" i="28"/>
  <c r="O233" i="28"/>
  <c r="K234" i="28"/>
  <c r="L234" i="28"/>
  <c r="M234" i="28"/>
  <c r="N234" i="28"/>
  <c r="O234" i="28"/>
  <c r="K237" i="28"/>
  <c r="L237" i="28"/>
  <c r="M237" i="28"/>
  <c r="N237" i="28"/>
  <c r="O237" i="28"/>
  <c r="L252" i="28"/>
  <c r="M252" i="28"/>
  <c r="N252" i="28"/>
  <c r="O252" i="28"/>
  <c r="K253" i="28"/>
  <c r="L253" i="28"/>
  <c r="M253" i="28"/>
  <c r="N253" i="28"/>
  <c r="O253" i="28"/>
  <c r="K255" i="28"/>
  <c r="L255" i="28"/>
  <c r="M255" i="28"/>
  <c r="N255" i="28"/>
  <c r="O255" i="28"/>
  <c r="K256" i="28"/>
  <c r="L256" i="28"/>
  <c r="M256" i="28"/>
  <c r="N256" i="28"/>
  <c r="O256" i="28"/>
  <c r="K262" i="28"/>
  <c r="L262" i="28"/>
  <c r="M262" i="28"/>
  <c r="N262" i="28"/>
  <c r="O262" i="28"/>
  <c r="D16" i="3"/>
  <c r="D17" i="3"/>
  <c r="D18" i="3"/>
  <c r="K32" i="3"/>
  <c r="L32" i="3"/>
  <c r="M32" i="3"/>
  <c r="N32" i="3"/>
  <c r="O32" i="3"/>
  <c r="K39" i="3"/>
  <c r="L39" i="3"/>
  <c r="M39" i="3"/>
  <c r="N39" i="3"/>
  <c r="O39" i="3"/>
  <c r="K40" i="3"/>
  <c r="L40" i="3"/>
  <c r="M40" i="3"/>
  <c r="N40" i="3"/>
  <c r="O40" i="3"/>
  <c r="K43" i="3"/>
  <c r="L43" i="3"/>
  <c r="M43" i="3"/>
  <c r="N43" i="3"/>
  <c r="O43" i="3"/>
  <c r="K44" i="3"/>
  <c r="L44" i="3"/>
  <c r="M44" i="3"/>
  <c r="N44" i="3"/>
  <c r="O44" i="3"/>
  <c r="K47" i="3"/>
  <c r="L47" i="3"/>
  <c r="M47" i="3"/>
  <c r="N47" i="3"/>
  <c r="O47" i="3"/>
  <c r="K49" i="3"/>
  <c r="L49" i="3"/>
  <c r="M49" i="3"/>
  <c r="N49" i="3"/>
  <c r="O49" i="3"/>
  <c r="K51" i="3"/>
  <c r="L51" i="3"/>
  <c r="M51" i="3"/>
  <c r="N51" i="3"/>
  <c r="O51" i="3"/>
  <c r="K52" i="3"/>
  <c r="L52" i="3"/>
  <c r="M52" i="3"/>
  <c r="N52" i="3"/>
  <c r="O52" i="3"/>
  <c r="K53" i="3"/>
  <c r="L53" i="3"/>
  <c r="M53" i="3"/>
  <c r="N53" i="3"/>
  <c r="O53" i="3"/>
  <c r="K56" i="3"/>
  <c r="L56" i="3"/>
  <c r="M56" i="3"/>
  <c r="N56" i="3"/>
  <c r="O56" i="3"/>
  <c r="K58" i="3"/>
  <c r="L58" i="3"/>
  <c r="M58" i="3"/>
  <c r="N58" i="3"/>
  <c r="O58" i="3"/>
  <c r="K69" i="3"/>
  <c r="L69" i="3"/>
  <c r="M69" i="3"/>
  <c r="N69" i="3"/>
  <c r="O69" i="3"/>
  <c r="K70" i="3"/>
  <c r="L70" i="3"/>
  <c r="M70" i="3"/>
  <c r="N70" i="3"/>
  <c r="O70" i="3"/>
  <c r="K71" i="3"/>
  <c r="L71" i="3"/>
  <c r="M71" i="3"/>
  <c r="N71" i="3"/>
  <c r="O71" i="3"/>
  <c r="K72" i="3"/>
  <c r="L72" i="3"/>
  <c r="M72" i="3"/>
  <c r="N72" i="3"/>
  <c r="O72" i="3"/>
  <c r="K73" i="3"/>
  <c r="L73" i="3"/>
  <c r="M73" i="3"/>
  <c r="N73" i="3"/>
  <c r="O73" i="3"/>
  <c r="K76" i="3"/>
  <c r="L76" i="3"/>
  <c r="M76" i="3"/>
  <c r="N76" i="3"/>
  <c r="O76" i="3"/>
  <c r="K79" i="3"/>
  <c r="L79" i="3"/>
  <c r="M79" i="3"/>
  <c r="N79" i="3"/>
  <c r="O79" i="3"/>
  <c r="K94" i="3"/>
  <c r="L94" i="3"/>
  <c r="M94" i="3"/>
  <c r="N94" i="3"/>
  <c r="O94" i="3"/>
  <c r="K95" i="3"/>
  <c r="L95" i="3"/>
  <c r="M95" i="3"/>
  <c r="N95" i="3"/>
  <c r="O95" i="3"/>
  <c r="K103" i="3"/>
  <c r="L103" i="3"/>
  <c r="M103" i="3"/>
  <c r="N103" i="3"/>
  <c r="O103" i="3"/>
  <c r="K107" i="3"/>
  <c r="L107" i="3"/>
  <c r="M107" i="3"/>
  <c r="N107" i="3"/>
  <c r="O107" i="3"/>
  <c r="K112" i="3"/>
  <c r="L112" i="3"/>
  <c r="M112" i="3"/>
  <c r="N112" i="3"/>
  <c r="O112" i="3"/>
  <c r="K121" i="3"/>
  <c r="L121" i="3"/>
  <c r="M121" i="3"/>
  <c r="N121" i="3"/>
  <c r="O121" i="3"/>
  <c r="K123" i="3"/>
  <c r="L123" i="3"/>
  <c r="M123" i="3"/>
  <c r="N123" i="3"/>
  <c r="O123" i="3"/>
  <c r="K127" i="3"/>
  <c r="L127" i="3"/>
  <c r="M127" i="3"/>
  <c r="N127" i="3"/>
  <c r="O127" i="3"/>
  <c r="K128" i="3"/>
  <c r="L128" i="3"/>
  <c r="M128" i="3"/>
  <c r="N128" i="3"/>
  <c r="O128" i="3"/>
  <c r="K130" i="3"/>
  <c r="L130" i="3"/>
  <c r="M130" i="3"/>
  <c r="N130" i="3"/>
  <c r="O130" i="3"/>
  <c r="K148" i="3"/>
  <c r="L148" i="3"/>
  <c r="M148" i="3"/>
  <c r="N148" i="3"/>
  <c r="O148" i="3"/>
  <c r="K149" i="3"/>
  <c r="L149" i="3"/>
  <c r="M149" i="3"/>
  <c r="N149" i="3"/>
  <c r="O149" i="3"/>
  <c r="K155" i="3"/>
  <c r="L155" i="3"/>
  <c r="M155" i="3"/>
  <c r="N155" i="3"/>
  <c r="O155" i="3"/>
  <c r="K170" i="3"/>
  <c r="L170" i="3"/>
  <c r="M170" i="3"/>
  <c r="N170" i="3"/>
  <c r="O170" i="3"/>
  <c r="K178" i="3"/>
  <c r="L178" i="3"/>
  <c r="M178" i="3"/>
  <c r="N178" i="3"/>
  <c r="O178" i="3"/>
  <c r="K181" i="3"/>
  <c r="L181" i="3"/>
  <c r="M181" i="3"/>
  <c r="N181" i="3"/>
  <c r="O181" i="3"/>
  <c r="K182" i="3"/>
  <c r="L182" i="3"/>
  <c r="M182" i="3"/>
  <c r="N182" i="3"/>
  <c r="O182" i="3"/>
  <c r="K184" i="3"/>
  <c r="L184" i="3"/>
  <c r="M184" i="3"/>
  <c r="N184" i="3"/>
  <c r="O184" i="3"/>
  <c r="K195" i="3"/>
  <c r="L195" i="3"/>
  <c r="M195" i="3"/>
  <c r="N195" i="3"/>
  <c r="O195" i="3"/>
  <c r="K197" i="3"/>
  <c r="L197" i="3"/>
  <c r="M197" i="3"/>
  <c r="N197" i="3"/>
  <c r="O197" i="3"/>
  <c r="K200" i="3"/>
  <c r="L200" i="3"/>
  <c r="M200" i="3"/>
  <c r="N200" i="3"/>
  <c r="O200" i="3"/>
  <c r="K201" i="3"/>
  <c r="L201" i="3"/>
  <c r="M201" i="3"/>
  <c r="N201" i="3"/>
  <c r="O201" i="3"/>
  <c r="L203" i="3"/>
  <c r="M203" i="3"/>
  <c r="N203" i="3"/>
  <c r="O203" i="3"/>
  <c r="K205" i="3"/>
  <c r="L205" i="3"/>
  <c r="M205" i="3"/>
  <c r="N205" i="3"/>
  <c r="O205" i="3"/>
  <c r="K206" i="3"/>
  <c r="L206" i="3"/>
  <c r="M206" i="3"/>
  <c r="N206" i="3"/>
  <c r="O206" i="3"/>
  <c r="K209" i="3"/>
  <c r="L209" i="3"/>
  <c r="M209" i="3"/>
  <c r="N209" i="3"/>
  <c r="O209" i="3"/>
  <c r="K210" i="3"/>
  <c r="L210" i="3"/>
  <c r="M210" i="3"/>
  <c r="N210" i="3"/>
  <c r="O210" i="3"/>
  <c r="L217" i="3"/>
  <c r="M217" i="3"/>
  <c r="N217" i="3"/>
  <c r="O217" i="3"/>
  <c r="K218" i="3"/>
  <c r="L218" i="3"/>
  <c r="M218" i="3"/>
  <c r="N218" i="3"/>
  <c r="O218" i="3"/>
  <c r="K219" i="3"/>
  <c r="L219" i="3"/>
  <c r="M219" i="3"/>
  <c r="N219" i="3"/>
  <c r="O219" i="3"/>
  <c r="K221" i="3"/>
  <c r="L221" i="3"/>
  <c r="M221" i="3"/>
  <c r="N221" i="3"/>
  <c r="O221" i="3"/>
  <c r="K222" i="3"/>
  <c r="L222" i="3"/>
  <c r="M222" i="3"/>
  <c r="N222" i="3"/>
  <c r="O222" i="3"/>
  <c r="K225" i="3"/>
  <c r="L225" i="3"/>
  <c r="M225" i="3"/>
  <c r="N225" i="3"/>
  <c r="O225" i="3"/>
  <c r="L240" i="3"/>
  <c r="M240" i="3"/>
  <c r="N240" i="3"/>
  <c r="O240" i="3"/>
  <c r="K241" i="3"/>
  <c r="L241" i="3"/>
  <c r="M241" i="3"/>
  <c r="N241" i="3"/>
  <c r="O241" i="3"/>
  <c r="K243" i="3"/>
  <c r="L243" i="3"/>
  <c r="M243" i="3"/>
  <c r="N243" i="3"/>
  <c r="O243" i="3"/>
  <c r="K244" i="3"/>
  <c r="L244" i="3"/>
  <c r="M244" i="3"/>
  <c r="N244" i="3"/>
  <c r="O244" i="3"/>
  <c r="L285" i="3"/>
  <c r="M285" i="3"/>
  <c r="N285" i="3"/>
  <c r="O285" i="3"/>
  <c r="K286" i="3"/>
  <c r="L286" i="3"/>
  <c r="M286" i="3"/>
  <c r="N286" i="3"/>
  <c r="O286" i="3"/>
  <c r="K287" i="3"/>
  <c r="L287" i="3"/>
  <c r="M287" i="3"/>
  <c r="N287" i="3"/>
  <c r="O287" i="3"/>
  <c r="K288" i="3"/>
  <c r="L288" i="3"/>
  <c r="M288" i="3"/>
  <c r="N288" i="3"/>
  <c r="O288" i="3"/>
  <c r="K295" i="3"/>
  <c r="L295" i="3"/>
  <c r="M295" i="3"/>
  <c r="N295" i="3"/>
  <c r="O295" i="3"/>
  <c r="D16" i="24"/>
  <c r="D17" i="24"/>
  <c r="D18" i="24"/>
  <c r="K32" i="24"/>
  <c r="L32" i="24"/>
  <c r="M32" i="24"/>
  <c r="N32" i="24"/>
  <c r="O32" i="24"/>
  <c r="K39" i="24"/>
  <c r="L39" i="24"/>
  <c r="M39" i="24"/>
  <c r="N39" i="24"/>
  <c r="O39" i="24"/>
  <c r="K40" i="24"/>
  <c r="L40" i="24"/>
  <c r="M40" i="24"/>
  <c r="N40" i="24"/>
  <c r="O40" i="24"/>
  <c r="K43" i="24"/>
  <c r="L43" i="24"/>
  <c r="M43" i="24"/>
  <c r="N43" i="24"/>
  <c r="O43" i="24"/>
  <c r="K44" i="24"/>
  <c r="L44" i="24"/>
  <c r="M44" i="24"/>
  <c r="N44" i="24"/>
  <c r="O44" i="24"/>
  <c r="K47" i="24"/>
  <c r="L47" i="24"/>
  <c r="M47" i="24"/>
  <c r="N47" i="24"/>
  <c r="O47" i="24"/>
  <c r="K49" i="24"/>
  <c r="L49" i="24"/>
  <c r="M49" i="24"/>
  <c r="N49" i="24"/>
  <c r="O49" i="24"/>
  <c r="K51" i="24"/>
  <c r="L51" i="24"/>
  <c r="M51" i="24"/>
  <c r="N51" i="24"/>
  <c r="O51" i="24"/>
  <c r="K52" i="24"/>
  <c r="L52" i="24"/>
  <c r="M52" i="24"/>
  <c r="N52" i="24"/>
  <c r="O52" i="24"/>
  <c r="K53" i="24"/>
  <c r="L53" i="24"/>
  <c r="M53" i="24"/>
  <c r="N53" i="24"/>
  <c r="O53" i="24"/>
  <c r="K56" i="24"/>
  <c r="L56" i="24"/>
  <c r="M56" i="24"/>
  <c r="N56" i="24"/>
  <c r="O56" i="24"/>
  <c r="K58" i="24"/>
  <c r="L58" i="24"/>
  <c r="M58" i="24"/>
  <c r="N58" i="24"/>
  <c r="O58" i="24"/>
  <c r="K69" i="24"/>
  <c r="L69" i="24"/>
  <c r="M69" i="24"/>
  <c r="N69" i="24"/>
  <c r="O69" i="24"/>
  <c r="K70" i="24"/>
  <c r="L70" i="24"/>
  <c r="M70" i="24"/>
  <c r="N70" i="24"/>
  <c r="O70" i="24"/>
  <c r="K71" i="24"/>
  <c r="L71" i="24"/>
  <c r="M71" i="24"/>
  <c r="N71" i="24"/>
  <c r="O71" i="24"/>
  <c r="K72" i="24"/>
  <c r="L72" i="24"/>
  <c r="M72" i="24"/>
  <c r="N72" i="24"/>
  <c r="O72" i="24"/>
  <c r="K73" i="24"/>
  <c r="L73" i="24"/>
  <c r="M73" i="24"/>
  <c r="N73" i="24"/>
  <c r="O73" i="24"/>
  <c r="K76" i="24"/>
  <c r="L76" i="24"/>
  <c r="M76" i="24"/>
  <c r="N76" i="24"/>
  <c r="O76" i="24"/>
  <c r="K79" i="24"/>
  <c r="L79" i="24"/>
  <c r="M79" i="24"/>
  <c r="N79" i="24"/>
  <c r="O79" i="24"/>
  <c r="K94" i="24"/>
  <c r="L94" i="24"/>
  <c r="M94" i="24"/>
  <c r="N94" i="24"/>
  <c r="O94" i="24"/>
  <c r="K95" i="24"/>
  <c r="L95" i="24"/>
  <c r="M95" i="24"/>
  <c r="N95" i="24"/>
  <c r="O95" i="24"/>
  <c r="K103" i="24"/>
  <c r="L103" i="24"/>
  <c r="M103" i="24"/>
  <c r="N103" i="24"/>
  <c r="O103" i="24"/>
  <c r="K107" i="24"/>
  <c r="L107" i="24"/>
  <c r="M107" i="24"/>
  <c r="N107" i="24"/>
  <c r="O107" i="24"/>
  <c r="K112" i="24"/>
  <c r="L112" i="24"/>
  <c r="M112" i="24"/>
  <c r="N112" i="24"/>
  <c r="O112" i="24"/>
  <c r="K121" i="24"/>
  <c r="L121" i="24"/>
  <c r="M121" i="24"/>
  <c r="N121" i="24"/>
  <c r="O121" i="24"/>
  <c r="K123" i="24"/>
  <c r="L123" i="24"/>
  <c r="M123" i="24"/>
  <c r="N123" i="24"/>
  <c r="O123" i="24"/>
  <c r="K127" i="24"/>
  <c r="L127" i="24"/>
  <c r="M127" i="24"/>
  <c r="N127" i="24"/>
  <c r="O127" i="24"/>
  <c r="K128" i="24"/>
  <c r="L128" i="24"/>
  <c r="M128" i="24"/>
  <c r="N128" i="24"/>
  <c r="O128" i="24"/>
  <c r="K130" i="24"/>
  <c r="L130" i="24"/>
  <c r="M130" i="24"/>
  <c r="N130" i="24"/>
  <c r="O130" i="24"/>
  <c r="K148" i="24"/>
  <c r="L148" i="24"/>
  <c r="M148" i="24"/>
  <c r="N148" i="24"/>
  <c r="O148" i="24"/>
  <c r="K149" i="24"/>
  <c r="L149" i="24"/>
  <c r="M149" i="24"/>
  <c r="N149" i="24"/>
  <c r="O149" i="24"/>
  <c r="K155" i="24"/>
  <c r="L155" i="24"/>
  <c r="M155" i="24"/>
  <c r="N155" i="24"/>
  <c r="O155" i="24"/>
  <c r="K170" i="24"/>
  <c r="L170" i="24"/>
  <c r="M170" i="24"/>
  <c r="N170" i="24"/>
  <c r="O170" i="24"/>
  <c r="K178" i="24"/>
  <c r="L178" i="24"/>
  <c r="M178" i="24"/>
  <c r="N178" i="24"/>
  <c r="O178" i="24"/>
  <c r="K181" i="24"/>
  <c r="L181" i="24"/>
  <c r="M181" i="24"/>
  <c r="N181" i="24"/>
  <c r="O181" i="24"/>
  <c r="K182" i="24"/>
  <c r="L182" i="24"/>
  <c r="M182" i="24"/>
  <c r="N182" i="24"/>
  <c r="O182" i="24"/>
  <c r="K184" i="24"/>
  <c r="L184" i="24"/>
  <c r="M184" i="24"/>
  <c r="N184" i="24"/>
  <c r="O184" i="24"/>
  <c r="K195" i="24"/>
  <c r="L195" i="24"/>
  <c r="M195" i="24"/>
  <c r="N195" i="24"/>
  <c r="O195" i="24"/>
  <c r="K197" i="24"/>
  <c r="L197" i="24"/>
  <c r="M197" i="24"/>
  <c r="N197" i="24"/>
  <c r="O197" i="24"/>
  <c r="K200" i="24"/>
  <c r="L200" i="24"/>
  <c r="M200" i="24"/>
  <c r="N200" i="24"/>
  <c r="O200" i="24"/>
  <c r="K201" i="24"/>
  <c r="L201" i="24"/>
  <c r="M201" i="24"/>
  <c r="N201" i="24"/>
  <c r="O201" i="24"/>
  <c r="L203" i="24"/>
  <c r="M203" i="24"/>
  <c r="N203" i="24"/>
  <c r="O203" i="24"/>
  <c r="K205" i="24"/>
  <c r="L205" i="24"/>
  <c r="M205" i="24"/>
  <c r="N205" i="24"/>
  <c r="O205" i="24"/>
  <c r="K206" i="24"/>
  <c r="L206" i="24"/>
  <c r="M206" i="24"/>
  <c r="N206" i="24"/>
  <c r="O206" i="24"/>
  <c r="K209" i="24"/>
  <c r="L209" i="24"/>
  <c r="M209" i="24"/>
  <c r="N209" i="24"/>
  <c r="O209" i="24"/>
  <c r="K210" i="24"/>
  <c r="L210" i="24"/>
  <c r="M210" i="24"/>
  <c r="N210" i="24"/>
  <c r="O210" i="24"/>
  <c r="L217" i="24"/>
  <c r="M217" i="24"/>
  <c r="N217" i="24"/>
  <c r="O217" i="24"/>
  <c r="K218" i="24"/>
  <c r="L218" i="24"/>
  <c r="M218" i="24"/>
  <c r="N218" i="24"/>
  <c r="O218" i="24"/>
  <c r="K219" i="24"/>
  <c r="L219" i="24"/>
  <c r="M219" i="24"/>
  <c r="N219" i="24"/>
  <c r="O219" i="24"/>
  <c r="K221" i="24"/>
  <c r="L221" i="24"/>
  <c r="M221" i="24"/>
  <c r="N221" i="24"/>
  <c r="O221" i="24"/>
  <c r="K222" i="24"/>
  <c r="L222" i="24"/>
  <c r="M222" i="24"/>
  <c r="N222" i="24"/>
  <c r="O222" i="24"/>
  <c r="K225" i="24"/>
  <c r="L225" i="24"/>
  <c r="M225" i="24"/>
  <c r="N225" i="24"/>
  <c r="O225" i="24"/>
  <c r="L240" i="24"/>
  <c r="M240" i="24"/>
  <c r="N240" i="24"/>
  <c r="O240" i="24"/>
  <c r="K241" i="24"/>
  <c r="L241" i="24"/>
  <c r="M241" i="24"/>
  <c r="N241" i="24"/>
  <c r="O241" i="24"/>
  <c r="K243" i="24"/>
  <c r="L243" i="24"/>
  <c r="M243" i="24"/>
  <c r="N243" i="24"/>
  <c r="O243" i="24"/>
  <c r="K244" i="24"/>
  <c r="L244" i="24"/>
  <c r="M244" i="24"/>
  <c r="N244" i="24"/>
  <c r="O244" i="24"/>
  <c r="L285" i="24"/>
  <c r="M285" i="24"/>
  <c r="N285" i="24"/>
  <c r="O285" i="24"/>
  <c r="K286" i="24"/>
  <c r="L286" i="24"/>
  <c r="M286" i="24"/>
  <c r="N286" i="24"/>
  <c r="O286" i="24"/>
  <c r="K287" i="24"/>
  <c r="L287" i="24"/>
  <c r="M287" i="24"/>
  <c r="N287" i="24"/>
  <c r="O287" i="24"/>
  <c r="K288" i="24"/>
  <c r="L288" i="24"/>
  <c r="M288" i="24"/>
  <c r="N288" i="24"/>
  <c r="O288" i="24"/>
  <c r="K295" i="24"/>
  <c r="L295" i="24"/>
  <c r="M295" i="24"/>
  <c r="N295" i="24"/>
  <c r="O295" i="24"/>
  <c r="I344" i="24"/>
  <c r="D16" i="30"/>
  <c r="D17" i="30"/>
  <c r="K31" i="30"/>
  <c r="L31" i="30"/>
  <c r="M31" i="30"/>
  <c r="N31" i="30"/>
  <c r="O31" i="30"/>
  <c r="K32" i="30"/>
  <c r="L32" i="30"/>
  <c r="M32" i="30"/>
  <c r="N32" i="30"/>
  <c r="O32" i="30"/>
  <c r="K33" i="30"/>
  <c r="L33" i="30"/>
  <c r="M33" i="30"/>
  <c r="N33" i="30"/>
  <c r="O33" i="30"/>
  <c r="K34" i="30"/>
  <c r="L34" i="30"/>
  <c r="M34" i="30"/>
  <c r="N34" i="30"/>
  <c r="O34" i="30"/>
  <c r="K35" i="30"/>
  <c r="L35" i="30"/>
  <c r="M35" i="30"/>
  <c r="N35" i="30"/>
  <c r="O35" i="30"/>
  <c r="K38" i="30"/>
  <c r="L38" i="30"/>
  <c r="M38" i="30"/>
  <c r="N38" i="30"/>
  <c r="O38" i="30"/>
  <c r="K41" i="30"/>
  <c r="L41" i="30"/>
  <c r="M41" i="30"/>
  <c r="N41" i="30"/>
  <c r="O41" i="30"/>
  <c r="K56" i="30"/>
  <c r="L56" i="30"/>
  <c r="M56" i="30"/>
  <c r="N56" i="30"/>
  <c r="O56" i="30"/>
  <c r="K57" i="30"/>
  <c r="L57" i="30"/>
  <c r="M57" i="30"/>
  <c r="N57" i="30"/>
  <c r="O57" i="30"/>
  <c r="K88" i="30"/>
  <c r="L88" i="30"/>
  <c r="M88" i="30"/>
  <c r="N88" i="30"/>
  <c r="O88" i="30"/>
  <c r="K100" i="30"/>
  <c r="L100" i="30"/>
  <c r="M100" i="30"/>
  <c r="N100" i="30"/>
  <c r="O100" i="30"/>
  <c r="K106" i="30"/>
  <c r="L106" i="30"/>
  <c r="M106" i="30"/>
  <c r="N106" i="30"/>
  <c r="O106" i="30"/>
  <c r="K114" i="30"/>
  <c r="L114" i="30"/>
  <c r="M114" i="30"/>
  <c r="N114" i="30"/>
  <c r="O114" i="30"/>
  <c r="K117" i="30"/>
  <c r="L117" i="30"/>
  <c r="M117" i="30"/>
  <c r="N117" i="30"/>
  <c r="O117" i="30"/>
  <c r="K118" i="30"/>
  <c r="L118" i="30"/>
  <c r="M118" i="30"/>
  <c r="N118" i="30"/>
  <c r="O118" i="30"/>
  <c r="K120" i="30"/>
  <c r="L120" i="30"/>
  <c r="M120" i="30"/>
  <c r="N120" i="30"/>
  <c r="O120" i="30"/>
  <c r="K131" i="30"/>
  <c r="L131" i="30"/>
  <c r="M131" i="30"/>
  <c r="N131" i="30"/>
  <c r="O131" i="30"/>
  <c r="K133" i="30"/>
  <c r="L133" i="30"/>
  <c r="M133" i="30"/>
  <c r="N133" i="30"/>
  <c r="O133" i="30"/>
  <c r="K136" i="30"/>
  <c r="L136" i="30"/>
  <c r="M136" i="30"/>
  <c r="N136" i="30"/>
  <c r="O136" i="30"/>
  <c r="K137" i="30"/>
  <c r="L137" i="30"/>
  <c r="M137" i="30"/>
  <c r="N137" i="30"/>
  <c r="O137" i="30"/>
  <c r="L139" i="30"/>
  <c r="M139" i="30"/>
  <c r="N139" i="30"/>
  <c r="O139" i="30"/>
  <c r="K141" i="30"/>
  <c r="L141" i="30"/>
  <c r="M141" i="30"/>
  <c r="N141" i="30"/>
  <c r="O141" i="30"/>
  <c r="K142" i="30"/>
  <c r="L142" i="30"/>
  <c r="M142" i="30"/>
  <c r="N142" i="30"/>
  <c r="O142" i="30"/>
  <c r="K145" i="30"/>
  <c r="L145" i="30"/>
  <c r="M145" i="30"/>
  <c r="N145" i="30"/>
  <c r="O145" i="30"/>
  <c r="K146" i="30"/>
  <c r="L146" i="30"/>
  <c r="M146" i="30"/>
  <c r="N146" i="30"/>
  <c r="O146" i="30"/>
  <c r="L153" i="30"/>
  <c r="M153" i="30"/>
  <c r="N153" i="30"/>
  <c r="O153" i="30"/>
  <c r="K154" i="30"/>
  <c r="L154" i="30"/>
  <c r="M154" i="30"/>
  <c r="N154" i="30"/>
  <c r="O154" i="30"/>
  <c r="K155" i="30"/>
  <c r="L155" i="30"/>
  <c r="M155" i="30"/>
  <c r="N155" i="30"/>
  <c r="O155" i="30"/>
  <c r="K157" i="30"/>
  <c r="L157" i="30"/>
  <c r="M157" i="30"/>
  <c r="N157" i="30"/>
  <c r="O157" i="30"/>
  <c r="K158" i="30"/>
  <c r="L158" i="30"/>
  <c r="M158" i="30"/>
  <c r="N158" i="30"/>
  <c r="O158" i="30"/>
  <c r="K161" i="30"/>
  <c r="L161" i="30"/>
  <c r="M161" i="30"/>
  <c r="N161" i="30"/>
  <c r="O161" i="30"/>
  <c r="L176" i="30"/>
  <c r="M176" i="30"/>
  <c r="N176" i="30"/>
  <c r="O176" i="30"/>
  <c r="K177" i="30"/>
  <c r="L177" i="30"/>
  <c r="M177" i="30"/>
  <c r="N177" i="30"/>
  <c r="O177" i="30"/>
  <c r="K178" i="30"/>
  <c r="L178" i="30"/>
  <c r="M178" i="30"/>
  <c r="N178" i="30"/>
  <c r="O178" i="30"/>
  <c r="K180" i="30"/>
  <c r="L180" i="30"/>
  <c r="M180" i="30"/>
  <c r="N180" i="30"/>
  <c r="O180" i="30"/>
  <c r="K181" i="30"/>
  <c r="L181" i="30"/>
  <c r="M181" i="30"/>
  <c r="N181" i="30"/>
  <c r="O181" i="30"/>
  <c r="K187" i="30"/>
  <c r="L187" i="30"/>
  <c r="M187" i="30"/>
  <c r="N187" i="30"/>
  <c r="O187" i="30"/>
  <c r="D16" i="26"/>
  <c r="D17" i="26"/>
  <c r="D18" i="26"/>
  <c r="K32" i="26"/>
  <c r="L32" i="26"/>
  <c r="M32" i="26"/>
  <c r="N32" i="26"/>
  <c r="O32" i="26"/>
  <c r="K39" i="26"/>
  <c r="L39" i="26"/>
  <c r="M39" i="26"/>
  <c r="N39" i="26"/>
  <c r="O39" i="26"/>
  <c r="K40" i="26"/>
  <c r="L40" i="26"/>
  <c r="M40" i="26"/>
  <c r="N40" i="26"/>
  <c r="O40" i="26"/>
  <c r="K43" i="26"/>
  <c r="L43" i="26"/>
  <c r="M43" i="26"/>
  <c r="N43" i="26"/>
  <c r="O43" i="26"/>
  <c r="K44" i="26"/>
  <c r="L44" i="26"/>
  <c r="M44" i="26"/>
  <c r="N44" i="26"/>
  <c r="O44" i="26"/>
  <c r="K47" i="26"/>
  <c r="L47" i="26"/>
  <c r="M47" i="26"/>
  <c r="N47" i="26"/>
  <c r="O47" i="26"/>
  <c r="K49" i="26"/>
  <c r="L49" i="26"/>
  <c r="M49" i="26"/>
  <c r="N49" i="26"/>
  <c r="O49" i="26"/>
  <c r="K51" i="26"/>
  <c r="L51" i="26"/>
  <c r="M51" i="26"/>
  <c r="N51" i="26"/>
  <c r="O51" i="26"/>
  <c r="K52" i="26"/>
  <c r="L52" i="26"/>
  <c r="M52" i="26"/>
  <c r="N52" i="26"/>
  <c r="O52" i="26"/>
  <c r="K53" i="26"/>
  <c r="L53" i="26"/>
  <c r="M53" i="26"/>
  <c r="N53" i="26"/>
  <c r="O53" i="26"/>
  <c r="K56" i="26"/>
  <c r="L56" i="26"/>
  <c r="M56" i="26"/>
  <c r="N56" i="26"/>
  <c r="O56" i="26"/>
  <c r="K58" i="26"/>
  <c r="L58" i="26"/>
  <c r="M58" i="26"/>
  <c r="N58" i="26"/>
  <c r="O58" i="26"/>
  <c r="K69" i="26"/>
  <c r="L69" i="26"/>
  <c r="M69" i="26"/>
  <c r="N69" i="26"/>
  <c r="O69" i="26"/>
  <c r="K70" i="26"/>
  <c r="L70" i="26"/>
  <c r="M70" i="26"/>
  <c r="N70" i="26"/>
  <c r="O70" i="26"/>
  <c r="K71" i="26"/>
  <c r="L71" i="26"/>
  <c r="M71" i="26"/>
  <c r="N71" i="26"/>
  <c r="O71" i="26"/>
  <c r="K72" i="26"/>
  <c r="L72" i="26"/>
  <c r="M72" i="26"/>
  <c r="N72" i="26"/>
  <c r="O72" i="26"/>
  <c r="K73" i="26"/>
  <c r="L73" i="26"/>
  <c r="M73" i="26"/>
  <c r="N73" i="26"/>
  <c r="O73" i="26"/>
  <c r="K76" i="26"/>
  <c r="L76" i="26"/>
  <c r="M76" i="26"/>
  <c r="N76" i="26"/>
  <c r="O76" i="26"/>
  <c r="K79" i="26"/>
  <c r="L79" i="26"/>
  <c r="M79" i="26"/>
  <c r="N79" i="26"/>
  <c r="O79" i="26"/>
  <c r="K94" i="26"/>
  <c r="L94" i="26"/>
  <c r="M94" i="26"/>
  <c r="N94" i="26"/>
  <c r="O94" i="26"/>
  <c r="K95" i="26"/>
  <c r="L95" i="26"/>
  <c r="M95" i="26"/>
  <c r="N95" i="26"/>
  <c r="O95" i="26"/>
  <c r="K103" i="26"/>
  <c r="L103" i="26"/>
  <c r="M103" i="26"/>
  <c r="N103" i="26"/>
  <c r="O103" i="26"/>
  <c r="K107" i="26"/>
  <c r="L107" i="26"/>
  <c r="M107" i="26"/>
  <c r="N107" i="26"/>
  <c r="O107" i="26"/>
  <c r="K112" i="26"/>
  <c r="L112" i="26"/>
  <c r="M112" i="26"/>
  <c r="N112" i="26"/>
  <c r="O112" i="26"/>
  <c r="K121" i="26"/>
  <c r="L121" i="26"/>
  <c r="M121" i="26"/>
  <c r="N121" i="26"/>
  <c r="O121" i="26"/>
  <c r="K123" i="26"/>
  <c r="L123" i="26"/>
  <c r="M123" i="26"/>
  <c r="N123" i="26"/>
  <c r="O123" i="26"/>
  <c r="K127" i="26"/>
  <c r="L127" i="26"/>
  <c r="M127" i="26"/>
  <c r="N127" i="26"/>
  <c r="O127" i="26"/>
  <c r="K128" i="26"/>
  <c r="L128" i="26"/>
  <c r="M128" i="26"/>
  <c r="N128" i="26"/>
  <c r="O128" i="26"/>
  <c r="K139" i="26"/>
  <c r="L139" i="26"/>
  <c r="M139" i="26"/>
  <c r="N139" i="26"/>
  <c r="O139" i="26"/>
  <c r="K142" i="26"/>
  <c r="L142" i="26"/>
  <c r="M142" i="26"/>
  <c r="N142" i="26"/>
  <c r="O142" i="26"/>
  <c r="K160" i="26"/>
  <c r="L160" i="26"/>
  <c r="M160" i="26"/>
  <c r="N160" i="26"/>
  <c r="O160" i="26"/>
  <c r="K161" i="26"/>
  <c r="L161" i="26"/>
  <c r="M161" i="26"/>
  <c r="N161" i="26"/>
  <c r="O161" i="26"/>
  <c r="K167" i="26"/>
  <c r="L167" i="26"/>
  <c r="M167" i="26"/>
  <c r="N167" i="26"/>
  <c r="O167" i="26"/>
  <c r="K182" i="26"/>
  <c r="L182" i="26"/>
  <c r="M182" i="26"/>
  <c r="N182" i="26"/>
  <c r="O182" i="26"/>
  <c r="K190" i="26"/>
  <c r="L190" i="26"/>
  <c r="M190" i="26"/>
  <c r="N190" i="26"/>
  <c r="O190" i="26"/>
  <c r="K193" i="26"/>
  <c r="L193" i="26"/>
  <c r="M193" i="26"/>
  <c r="N193" i="26"/>
  <c r="O193" i="26"/>
  <c r="K194" i="26"/>
  <c r="L194" i="26"/>
  <c r="M194" i="26"/>
  <c r="N194" i="26"/>
  <c r="O194" i="26"/>
  <c r="K196" i="26"/>
  <c r="L196" i="26"/>
  <c r="M196" i="26"/>
  <c r="N196" i="26"/>
  <c r="O196" i="26"/>
  <c r="K207" i="26"/>
  <c r="L207" i="26"/>
  <c r="M207" i="26"/>
  <c r="N207" i="26"/>
  <c r="O207" i="26"/>
  <c r="K209" i="26"/>
  <c r="L209" i="26"/>
  <c r="M209" i="26"/>
  <c r="N209" i="26"/>
  <c r="O209" i="26"/>
  <c r="K212" i="26"/>
  <c r="L212" i="26"/>
  <c r="M212" i="26"/>
  <c r="N212" i="26"/>
  <c r="O212" i="26"/>
  <c r="K213" i="26"/>
  <c r="L213" i="26"/>
  <c r="M213" i="26"/>
  <c r="N213" i="26"/>
  <c r="O213" i="26"/>
  <c r="L215" i="26"/>
  <c r="M215" i="26"/>
  <c r="N215" i="26"/>
  <c r="O215" i="26"/>
  <c r="K217" i="26"/>
  <c r="L217" i="26"/>
  <c r="M217" i="26"/>
  <c r="N217" i="26"/>
  <c r="O217" i="26"/>
  <c r="K218" i="26"/>
  <c r="L218" i="26"/>
  <c r="M218" i="26"/>
  <c r="N218" i="26"/>
  <c r="O218" i="26"/>
  <c r="K221" i="26"/>
  <c r="L221" i="26"/>
  <c r="M221" i="26"/>
  <c r="N221" i="26"/>
  <c r="O221" i="26"/>
  <c r="K222" i="26"/>
  <c r="L222" i="26"/>
  <c r="M222" i="26"/>
  <c r="N222" i="26"/>
  <c r="O222" i="26"/>
  <c r="L229" i="26"/>
  <c r="M229" i="26"/>
  <c r="N229" i="26"/>
  <c r="O229" i="26"/>
  <c r="K230" i="26"/>
  <c r="L230" i="26"/>
  <c r="M230" i="26"/>
  <c r="N230" i="26"/>
  <c r="O230" i="26"/>
  <c r="K231" i="26"/>
  <c r="L231" i="26"/>
  <c r="M231" i="26"/>
  <c r="N231" i="26"/>
  <c r="O231" i="26"/>
  <c r="K233" i="26"/>
  <c r="L233" i="26"/>
  <c r="M233" i="26"/>
  <c r="N233" i="26"/>
  <c r="O233" i="26"/>
  <c r="K234" i="26"/>
  <c r="L234" i="26"/>
  <c r="M234" i="26"/>
  <c r="N234" i="26"/>
  <c r="O234" i="26"/>
  <c r="K237" i="26"/>
  <c r="L237" i="26"/>
  <c r="M237" i="26"/>
  <c r="N237" i="26"/>
  <c r="O237" i="26"/>
  <c r="L252" i="26"/>
  <c r="M252" i="26"/>
  <c r="N252" i="26"/>
  <c r="O252" i="26"/>
  <c r="K253" i="26"/>
  <c r="L253" i="26"/>
  <c r="M253" i="26"/>
  <c r="N253" i="26"/>
  <c r="O253" i="26"/>
  <c r="K255" i="26"/>
  <c r="L255" i="26"/>
  <c r="M255" i="26"/>
  <c r="N255" i="26"/>
  <c r="O255" i="26"/>
  <c r="K256" i="26"/>
  <c r="L256" i="26"/>
  <c r="M256" i="26"/>
  <c r="N256" i="26"/>
  <c r="O256" i="26"/>
  <c r="K262" i="26"/>
  <c r="L262" i="26"/>
  <c r="M262" i="26"/>
  <c r="N262" i="26"/>
  <c r="O262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Kimpel</author>
  </authors>
  <commentList>
    <comment ref="C65" authorId="0" shapeId="0" xr:uid="{79D40443-DB44-49E1-90E0-44E129A04DB3}">
      <text>
        <r>
          <rPr>
            <b/>
            <sz val="9"/>
            <color indexed="81"/>
            <rFont val="Tahoma"/>
            <family val="2"/>
          </rPr>
          <t>Michael Kimpel:</t>
        </r>
        <r>
          <rPr>
            <sz val="9"/>
            <color indexed="81"/>
            <rFont val="Tahoma"/>
            <family val="2"/>
          </rPr>
          <t xml:space="preserve">
Depending on the model your building, you may have multiple cost line items and you'll have to make a judgment call as to what gets lumped together</t>
        </r>
      </text>
    </comment>
    <comment ref="B67" authorId="0" shapeId="0" xr:uid="{AEDAC8C9-BC5F-4A0E-8A3B-1D91661106C8}">
      <text>
        <r>
          <rPr>
            <b/>
            <sz val="9"/>
            <color indexed="81"/>
            <rFont val="Tahoma"/>
            <family val="2"/>
          </rPr>
          <t>Michael Kimpel:</t>
        </r>
        <r>
          <rPr>
            <sz val="9"/>
            <color indexed="81"/>
            <rFont val="Tahoma"/>
            <family val="2"/>
          </rPr>
          <t xml:space="preserve">
Depending on the model your building, you may have multiple cost line items and you'll have to make a judgment call as to what gets lumped together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Kimpel</author>
  </authors>
  <commentList>
    <comment ref="B103" authorId="0" shapeId="0" xr:uid="{4496C021-2AF3-40B7-8E86-988B9A9BFC16}">
      <text>
        <r>
          <rPr>
            <b/>
            <sz val="9"/>
            <color indexed="81"/>
            <rFont val="Tahoma"/>
            <family val="2"/>
          </rPr>
          <t>Michael Kimpel:</t>
        </r>
        <r>
          <rPr>
            <sz val="9"/>
            <color indexed="81"/>
            <rFont val="Tahoma"/>
            <family val="2"/>
          </rPr>
          <t xml:space="preserve">
Note that for modeling purposes Cash includes Cash &amp; Equivalents, Marketable Securities and any liquid Long-Term Investments</t>
        </r>
      </text>
    </comment>
    <comment ref="B122" authorId="0" shapeId="0" xr:uid="{E86E3800-4434-432A-A870-7350AF9360AD}">
      <text>
        <r>
          <rPr>
            <b/>
            <sz val="9"/>
            <color indexed="81"/>
            <rFont val="Tahoma"/>
            <family val="2"/>
          </rPr>
          <t>Michael Kimpel:</t>
        </r>
        <r>
          <rPr>
            <sz val="9"/>
            <color indexed="81"/>
            <rFont val="Tahoma"/>
            <family val="2"/>
          </rPr>
          <t xml:space="preserve">
Note that Long-Term Debt includes both the Current Portion of Long-Term Debt as well as Long-Term Debt</t>
        </r>
      </text>
    </comment>
  </commentList>
</comments>
</file>

<file path=xl/sharedStrings.xml><?xml version="1.0" encoding="utf-8"?>
<sst xmlns="http://schemas.openxmlformats.org/spreadsheetml/2006/main" count="5647" uniqueCount="418">
  <si>
    <t>X</t>
  </si>
  <si>
    <t>Company Name</t>
  </si>
  <si>
    <t>Gooey Cookies</t>
  </si>
  <si>
    <t>Average Interest Trigger</t>
  </si>
  <si>
    <t>Minimum Cash</t>
  </si>
  <si>
    <t>First Projected Year</t>
  </si>
  <si>
    <t>Fiscal Year End</t>
  </si>
  <si>
    <t>Balance Sheet Check</t>
  </si>
  <si>
    <t>Revolver Check</t>
  </si>
  <si>
    <t>Model Check</t>
  </si>
  <si>
    <t>Ending Balance</t>
  </si>
  <si>
    <t>($s Millions, except where noted)</t>
  </si>
  <si>
    <t>Revolving Credit Facility</t>
  </si>
  <si>
    <t>FINANCIAL SUMMARY</t>
  </si>
  <si>
    <t>Revenue</t>
  </si>
  <si>
    <t>Adj. EBITDA</t>
  </si>
  <si>
    <t>Capital Expenditures</t>
  </si>
  <si>
    <t>% of Revenue</t>
  </si>
  <si>
    <t>Free Cash Flow:</t>
  </si>
  <si>
    <t>EBITDA</t>
  </si>
  <si>
    <t>Less: Income Taxes</t>
  </si>
  <si>
    <t>Less: Changes in Working Capital</t>
  </si>
  <si>
    <t>Less: Capital Expenditures</t>
  </si>
  <si>
    <t>Free Cash Flow</t>
  </si>
  <si>
    <t>Cumulative Free Cash Flow</t>
  </si>
  <si>
    <t>Capitalization:</t>
  </si>
  <si>
    <t>Cash</t>
  </si>
  <si>
    <t>Total Debt</t>
  </si>
  <si>
    <t>Total Capitalization</t>
  </si>
  <si>
    <t>Summary Credit Statistics:</t>
  </si>
  <si>
    <t>Net Debt / Adj. EBITDA</t>
  </si>
  <si>
    <t>INCOME STATEMENT</t>
  </si>
  <si>
    <t>Cost of Goods Sold (Cost of Sales)</t>
  </si>
  <si>
    <t>Gross Profit</t>
  </si>
  <si>
    <t>SG&amp;A</t>
  </si>
  <si>
    <t>Operating Income (EBIT)</t>
  </si>
  <si>
    <t>Interest Income</t>
  </si>
  <si>
    <t>Profit Before Tax (PBT)</t>
  </si>
  <si>
    <t>Income Tax Expense</t>
  </si>
  <si>
    <t>Net Income</t>
  </si>
  <si>
    <t>Adjusted EBITDA Bridge</t>
  </si>
  <si>
    <t>EBIT</t>
  </si>
  <si>
    <t>Plus: D&amp;A</t>
  </si>
  <si>
    <t>Adjusted EBITDA</t>
  </si>
  <si>
    <t>Key Metrics</t>
  </si>
  <si>
    <t>Gross Margin</t>
  </si>
  <si>
    <t>SG&amp;A % of Revenue</t>
  </si>
  <si>
    <t>Adjusted EBITDA Margin</t>
  </si>
  <si>
    <t>Income Tax Rate</t>
  </si>
  <si>
    <t>D&amp;A % of Revenue</t>
  </si>
  <si>
    <t>BALANCE SHEET</t>
  </si>
  <si>
    <t>Accounts Receivable</t>
  </si>
  <si>
    <t>Inventories</t>
  </si>
  <si>
    <t>Prepaid Expenses</t>
  </si>
  <si>
    <t>Total Current Assets (CA)</t>
  </si>
  <si>
    <t>Property, Plant &amp; Equipment, Net</t>
  </si>
  <si>
    <t>Goodwill</t>
  </si>
  <si>
    <t>Other Long-Term (Operating) Assets</t>
  </si>
  <si>
    <t>Total Assets</t>
  </si>
  <si>
    <t>Accounts Payable</t>
  </si>
  <si>
    <t>Accrued Liabilities</t>
  </si>
  <si>
    <t>Deferred Revenue</t>
  </si>
  <si>
    <t>Total Current Liabilities (CL)</t>
  </si>
  <si>
    <t>Other Long-Term (Operating) Liabilities</t>
  </si>
  <si>
    <t>Total Liabilities and Shareholders' Equity</t>
  </si>
  <si>
    <t>Balance Check</t>
  </si>
  <si>
    <t>Memo: Local Pull</t>
  </si>
  <si>
    <t>Working Capital Assumptions</t>
  </si>
  <si>
    <t>Accounts Receivable Days</t>
  </si>
  <si>
    <t>Inventory Turns</t>
  </si>
  <si>
    <t>Prepaid Expenses as % of Revenue</t>
  </si>
  <si>
    <t>Accounts Payable Days</t>
  </si>
  <si>
    <t>Accrued Liabilities as % of Total Expenses</t>
  </si>
  <si>
    <t>Deferred Revenue as % of Revenue</t>
  </si>
  <si>
    <t>Net Working Capital [CA (Excl Cash) - CL)]</t>
  </si>
  <si>
    <t>CASH FLOW STATEMENT</t>
  </si>
  <si>
    <t>Operating Activities:</t>
  </si>
  <si>
    <t>Depreciation and Amortization</t>
  </si>
  <si>
    <t>Working Capital + LT Operating Asset/Liability Adjustments:</t>
  </si>
  <si>
    <t>Changes in Net Working Capital</t>
  </si>
  <si>
    <t>Investing Activities:</t>
  </si>
  <si>
    <t>Financing Activities:</t>
  </si>
  <si>
    <t>Mandatory Debt Repayments</t>
  </si>
  <si>
    <t>Net Change in Cash (CFO + CFI + CFF)</t>
  </si>
  <si>
    <t>DEBT WATERFALL</t>
  </si>
  <si>
    <t>Mandatory Debt Repayments:</t>
  </si>
  <si>
    <t>Total Mandatory Debt Repayments</t>
  </si>
  <si>
    <t>CFO + CFI</t>
  </si>
  <si>
    <t>Less: Mandatory Payments</t>
  </si>
  <si>
    <t>Beginning Cash Balance</t>
  </si>
  <si>
    <t>Less: Minimum Cash Balance</t>
  </si>
  <si>
    <t>Cash Available for Optional Debt Repayment (CFADR)</t>
  </si>
  <si>
    <t>DEBT TABLES</t>
  </si>
  <si>
    <t>BOP Balance</t>
  </si>
  <si>
    <t>Borrowing / (Repayment)</t>
  </si>
  <si>
    <t>EOP Balance</t>
  </si>
  <si>
    <t>Average Balance</t>
  </si>
  <si>
    <t>Interest Expense</t>
  </si>
  <si>
    <t>RCF Overdraw Check</t>
  </si>
  <si>
    <t>Mandatory Repayments</t>
  </si>
  <si>
    <t xml:space="preserve">Interest Income </t>
  </si>
  <si>
    <t>Interest Earned on Cash %</t>
  </si>
  <si>
    <t>Active Case</t>
  </si>
  <si>
    <t>High (Bull) Case</t>
  </si>
  <si>
    <t>Mid (Base) Case</t>
  </si>
  <si>
    <t>Low (Bear) Case</t>
  </si>
  <si>
    <t>Basic EPS</t>
  </si>
  <si>
    <t>Diluted Shares</t>
  </si>
  <si>
    <t>Diluted EPS</t>
  </si>
  <si>
    <t xml:space="preserve">Basic Shares </t>
  </si>
  <si>
    <t>Common Stock</t>
  </si>
  <si>
    <t>Treasury Stock</t>
  </si>
  <si>
    <t>Common Stock Issuance</t>
  </si>
  <si>
    <t>Stock Repurchases</t>
  </si>
  <si>
    <t>Dividends Paid</t>
  </si>
  <si>
    <t>Plus: Common Stock Issuance</t>
  </si>
  <si>
    <t>Less: Stock Repurchases</t>
  </si>
  <si>
    <t>Less: Dividends Paid</t>
  </si>
  <si>
    <t>INTEREST INCOME</t>
  </si>
  <si>
    <t>SCHEDULE: PROPERTY, PLANT &amp; EQUIPMENT</t>
  </si>
  <si>
    <t>SCHEDULE: COMMON STOCK</t>
  </si>
  <si>
    <t>SCHEDULE: TREASURY STOCK</t>
  </si>
  <si>
    <t>SCHEDULE: RETAINED EARNINGS</t>
  </si>
  <si>
    <t>Beginning Balance</t>
  </si>
  <si>
    <t>Plus: Capital Expenditures</t>
  </si>
  <si>
    <t>Less: Depreciation</t>
  </si>
  <si>
    <t>Capital Expenditures % of Revenue</t>
  </si>
  <si>
    <t>Depreciation % of Revenue</t>
  </si>
  <si>
    <t>Plus: Stock-Based Compensation Expense</t>
  </si>
  <si>
    <t>Stock-Based Compensation Expense % of Revenue</t>
  </si>
  <si>
    <t>Plus: Net Income</t>
  </si>
  <si>
    <t>Payout Ratio % (Dividends / Net Income)</t>
  </si>
  <si>
    <t>Fiscal Year Ended 12/31</t>
  </si>
  <si>
    <t>Long-Term Debt</t>
  </si>
  <si>
    <t>Stock-Based Compensation</t>
  </si>
  <si>
    <t>Retained Earnings</t>
  </si>
  <si>
    <t>Net Income Growth (YoY)</t>
  </si>
  <si>
    <t>Diluted EPS Growth (YoY)</t>
  </si>
  <si>
    <t>Interest Rate %</t>
  </si>
  <si>
    <t>SCHEDULE: SHARE MECHANICS</t>
  </si>
  <si>
    <t>Basic Shares</t>
  </si>
  <si>
    <t>Impact of Dilution</t>
  </si>
  <si>
    <t>Shares Repurchased - $'s</t>
  </si>
  <si>
    <t>Shares Issued - $'s</t>
  </si>
  <si>
    <t>Net Shares Issued / (Repurchased)</t>
  </si>
  <si>
    <t>Shares Issued - # of Shares</t>
  </si>
  <si>
    <t>Shares Repurchased - # of Shares</t>
  </si>
  <si>
    <t>P/E Ratio</t>
  </si>
  <si>
    <t>Price/Share</t>
  </si>
  <si>
    <t>BOP Basic Shares</t>
  </si>
  <si>
    <t>EOP Basic Shares</t>
  </si>
  <si>
    <t>Revenue Growth YoY (Year-Over-Year)</t>
  </si>
  <si>
    <t xml:space="preserve">Adjusted EBITDA Growth (YoY) </t>
  </si>
  <si>
    <t>Interest Expense / (Income), Net</t>
  </si>
  <si>
    <t>Optional Debt (Repayments) / Borrowing:</t>
  </si>
  <si>
    <t>Total Optional Debt (Repayments) / Borrowing</t>
  </si>
  <si>
    <t>Optional Debt (Repayments) / Borrowing</t>
  </si>
  <si>
    <t>Basic Share Build</t>
  </si>
  <si>
    <t>Basic &amp; Diluted Shares Summary</t>
  </si>
  <si>
    <t>YoY Growth %</t>
  </si>
  <si>
    <t>Margin %</t>
  </si>
  <si>
    <t>Plus: Non-Recurring Items</t>
  </si>
  <si>
    <t>Total (Financial) Debt</t>
  </si>
  <si>
    <t>LT Operating Liabilities % of Revenue</t>
  </si>
  <si>
    <t>LT Operating Assets % of Revenue</t>
  </si>
  <si>
    <t>Net Working Capital % of Revenue</t>
  </si>
  <si>
    <t>Cash Flow from Operations (CFO)</t>
  </si>
  <si>
    <t>Cash Flow from Investing (CFI)</t>
  </si>
  <si>
    <t>Cash Flow from Financing (CFF)</t>
  </si>
  <si>
    <t>RCF Capacity</t>
  </si>
  <si>
    <t>Plus: New Stock Issuances</t>
  </si>
  <si>
    <t>Model Assumptions + Checks</t>
  </si>
  <si>
    <t>&lt;-- 1: Calculate the average of the beginning and ending balance</t>
  </si>
  <si>
    <t>&lt;-- 2: Use a circuit breaker to toggle between average balance and zero for the Interest Expense calculation</t>
  </si>
  <si>
    <t>&lt;-- 3: Calculate the average of the beginning and ending balance</t>
  </si>
  <si>
    <t>&lt;-- 4: Use a circuit breaker to toggle between average balance and zero for the Interest Expense calculation</t>
  </si>
  <si>
    <t xml:space="preserve">&lt;-- 5: Link prior period ending balance (from the Balance Sheet) for all years </t>
  </si>
  <si>
    <t>&lt;-- 6: Link current year ending balance (from the Balance Sheet) for all years</t>
  </si>
  <si>
    <t>&lt;-- 8: Calculate the average of the beginning and ending balance</t>
  </si>
  <si>
    <t>&lt;-- 9: Use a circuit breaker to toggle between average balance and zero for the Interest Income calculation</t>
  </si>
  <si>
    <t>&lt;-- 10: Link in Interest Income from the Interest Income schedule</t>
  </si>
  <si>
    <t>&lt;-- 11: Link in Interest Expense from the Debt Tables</t>
  </si>
  <si>
    <t>&lt;-- 1: Link prior period ending balance in first year (from the Balance Sheet); for all years beyond the first year the beginning balance equals the prior period end</t>
  </si>
  <si>
    <t>&lt;-- 2: Sum up the Beginning Balance and Mandatory Repayments</t>
  </si>
  <si>
    <t>&lt;-- 4: Sum up Long-Term Debt payments in the row above</t>
  </si>
  <si>
    <t>&lt;-- 6: Link the ending balance for each period from the Long-Term Debt schedule</t>
  </si>
  <si>
    <t>&lt;-- 1: Link in Cash Flows from Operations and Cash Flows from Investing from the Cash Flow Statement</t>
  </si>
  <si>
    <t>&lt;-- 2: Link in Mandatory Repayments from above</t>
  </si>
  <si>
    <t xml:space="preserve">&lt;-- 3: Sum up CFO + CFI and Mandatory Repayments </t>
  </si>
  <si>
    <t>&lt;-- 6: Link in Dividends from the Retained Earnings schedule</t>
  </si>
  <si>
    <t>&lt;-- 1: Calculate the historical Capital Expenditures % of Revenue</t>
  </si>
  <si>
    <t>&lt;-- 2: Calculate the historical Depreciation % of Revenue</t>
  </si>
  <si>
    <t>&lt;-- 1: Calculate the historical Stock-Based Compensation Expense % of Revenue</t>
  </si>
  <si>
    <t>&lt;-- 2: Link prior period ending balance in first year (from the Balance Sheet); for all years beyond the first year the beginning balance equals the prior period end</t>
  </si>
  <si>
    <t>&lt;-- 3: Project Stock-Based Compensation Expense using the % of Revenue assumption below</t>
  </si>
  <si>
    <t>&lt;-- 4: Sum up the Beginning Balance, New Stock Issuance and Stock-Based Compensation Expense</t>
  </si>
  <si>
    <t>&lt;-- 5: Link prior period ending balance in first year (from the Balance Sheet); for all years beyond the first year the beginning balance equals the prior period end</t>
  </si>
  <si>
    <t>&lt;-- 6: Sum up the Beginning Balance and Stock Repurchases</t>
  </si>
  <si>
    <t>&lt;-- 7: Link in Depreciation from the PP&amp;E schedule</t>
  </si>
  <si>
    <t>&lt;-- 3: Link prior period ending balance in first year (from the Balance Sheet); for all years beyond the first year the beginning balance equals the prior period end</t>
  </si>
  <si>
    <t>&lt;-- 4: Project Capital Expenditures using the % of Revenue assumption below</t>
  </si>
  <si>
    <t>&lt;-- 5: Project Depreciation using the % of Revenue assumption below</t>
  </si>
  <si>
    <t>&lt;-- 6: Sum up the Beginning Balance, Capital Expenditures and Depreciation</t>
  </si>
  <si>
    <t>&lt;-- 8: Link in Capital Expenditures from the PP&amp;E schedule</t>
  </si>
  <si>
    <t>&lt;-- 10: Link the ending balance for each period from the PP&amp;E schedule</t>
  </si>
  <si>
    <t>&lt;-- 1: Calculate historical ratio</t>
  </si>
  <si>
    <t>&lt;-- 2: Calculate historical ratio</t>
  </si>
  <si>
    <t>&lt;-- 4: Calculate historical ratio</t>
  </si>
  <si>
    <t>&lt;-- 8: Calculate NWC % of Revenue (Historical + Projected)</t>
  </si>
  <si>
    <t>&lt;-- 3: Calculate historical % of Revenue</t>
  </si>
  <si>
    <t>&lt;-- 1: Calculate historical % of Revenue</t>
  </si>
  <si>
    <t>&lt;-- 2: Calculate historical % of Revenue</t>
  </si>
  <si>
    <t>&lt;-- 3: Straight-line Goodwill</t>
  </si>
  <si>
    <t>&lt;-- 4: Project Other Long-Term (Operating) Assets using assumptions below</t>
  </si>
  <si>
    <t>&lt;-- 5: Project Other Long-Term (Operating) Liabilities using assumptions below</t>
  </si>
  <si>
    <r>
      <t>&lt;-- 6: Calculate source/use of cash impact (</t>
    </r>
    <r>
      <rPr>
        <b/>
        <u/>
        <sz val="10"/>
        <color rgb="FF000000"/>
        <rFont val="Calibri"/>
        <family val="2"/>
      </rPr>
      <t>PRIOR - CURRENT</t>
    </r>
    <r>
      <rPr>
        <sz val="10"/>
        <color rgb="FF000000"/>
        <rFont val="Calibri"/>
        <family val="2"/>
        <scheme val="minor"/>
      </rPr>
      <t>)</t>
    </r>
  </si>
  <si>
    <r>
      <t>&lt;-- 7: Calculate source/use of cash impact (</t>
    </r>
    <r>
      <rPr>
        <b/>
        <u/>
        <sz val="10"/>
        <color rgb="FF000000"/>
        <rFont val="Calibri"/>
        <family val="2"/>
      </rPr>
      <t>CURRENT - PRIOR</t>
    </r>
    <r>
      <rPr>
        <sz val="10"/>
        <color rgb="FF000000"/>
        <rFont val="Calibri"/>
        <family val="2"/>
        <scheme val="minor"/>
      </rPr>
      <t>)</t>
    </r>
  </si>
  <si>
    <t>&lt;-- 6: Calculate historical % of Revenue</t>
  </si>
  <si>
    <r>
      <t>&lt;-- 22: Calculate source/use of cash impact (</t>
    </r>
    <r>
      <rPr>
        <b/>
        <u/>
        <sz val="10"/>
        <color rgb="FF000000"/>
        <rFont val="Calibri"/>
        <family val="2"/>
      </rPr>
      <t>PRIOR - CURRENT</t>
    </r>
    <r>
      <rPr>
        <sz val="10"/>
        <color rgb="FF000000"/>
        <rFont val="Calibri"/>
        <family val="2"/>
        <scheme val="minor"/>
      </rPr>
      <t>)</t>
    </r>
  </si>
  <si>
    <r>
      <t>&lt;-- 25: Calculate source/use of cash impact (</t>
    </r>
    <r>
      <rPr>
        <b/>
        <u/>
        <sz val="10"/>
        <color rgb="FF000000"/>
        <rFont val="Calibri"/>
        <family val="2"/>
      </rPr>
      <t>CURRENT - PRIOR</t>
    </r>
    <r>
      <rPr>
        <sz val="10"/>
        <color rgb="FF000000"/>
        <rFont val="Calibri"/>
        <family val="2"/>
        <scheme val="minor"/>
      </rPr>
      <t>)</t>
    </r>
  </si>
  <si>
    <t>&lt;-- 5: Sum up the Beginning Balance, Net Income and Dividends Paid</t>
  </si>
  <si>
    <t>&lt;-- 20: Sum up Liabilities and Shareholders Equity</t>
  </si>
  <si>
    <r>
      <t>&lt;-- 23: Calculate source/use of cash impact (</t>
    </r>
    <r>
      <rPr>
        <b/>
        <u/>
        <sz val="10"/>
        <color rgb="FF000000"/>
        <rFont val="Calibri"/>
        <family val="2"/>
      </rPr>
      <t>PRIOR - CURRENT</t>
    </r>
    <r>
      <rPr>
        <sz val="10"/>
        <color rgb="FF000000"/>
        <rFont val="Calibri"/>
        <family val="2"/>
        <scheme val="minor"/>
      </rPr>
      <t>)</t>
    </r>
  </si>
  <si>
    <r>
      <t>&lt;-- 26: Calculate source/use of cash impact (</t>
    </r>
    <r>
      <rPr>
        <b/>
        <u/>
        <sz val="10"/>
        <color rgb="FF000000"/>
        <rFont val="Calibri"/>
        <family val="2"/>
      </rPr>
      <t>CURRENT - PRIOR</t>
    </r>
    <r>
      <rPr>
        <sz val="10"/>
        <color rgb="FF000000"/>
        <rFont val="Calibri"/>
        <family val="2"/>
        <scheme val="minor"/>
      </rPr>
      <t>)</t>
    </r>
  </si>
  <si>
    <t xml:space="preserve">&lt;-- 9: Calculate Historical and Projected Net Working Capital % of Revenue </t>
  </si>
  <si>
    <t>&lt;-- 10: Project Accounts Receivable using assumptions below</t>
  </si>
  <si>
    <t>&lt;-- 11: Project Inventory using assumptions below</t>
  </si>
  <si>
    <t>&lt;-- 12: Project Prepaid Expenses using assumptions below</t>
  </si>
  <si>
    <t>&lt;-- 13: Sum up Total Current Assets</t>
  </si>
  <si>
    <t>&lt;-- 14: Sum up Total Assets</t>
  </si>
  <si>
    <t>&lt;-- 15: Project Accounts Payable using assumptions below</t>
  </si>
  <si>
    <t>&lt;-- 16: Project Accrued Liabilities using assumptions below</t>
  </si>
  <si>
    <t>&lt;-- 17: Project Deferred Revenue using assumptions below</t>
  </si>
  <si>
    <t>&lt;-- 18: Sum up Total Current Liabilities</t>
  </si>
  <si>
    <t>&lt;-- 19: Sum up Total Financial Debt</t>
  </si>
  <si>
    <r>
      <t>&lt;-- 24: Calculate source/use of cash impact (</t>
    </r>
    <r>
      <rPr>
        <b/>
        <u/>
        <sz val="10"/>
        <color rgb="FF000000"/>
        <rFont val="Calibri"/>
        <family val="2"/>
      </rPr>
      <t>PRIOR - CURRENT</t>
    </r>
    <r>
      <rPr>
        <sz val="10"/>
        <color rgb="FF000000"/>
        <rFont val="Calibri"/>
        <family val="2"/>
        <scheme val="minor"/>
      </rPr>
      <t>)</t>
    </r>
  </si>
  <si>
    <r>
      <t>&lt;-- 27: Calculate source/use of cash impact (</t>
    </r>
    <r>
      <rPr>
        <b/>
        <u/>
        <sz val="10"/>
        <color rgb="FF000000"/>
        <rFont val="Calibri"/>
        <family val="2"/>
      </rPr>
      <t>CURRENT - PRIOR</t>
    </r>
    <r>
      <rPr>
        <sz val="10"/>
        <color rgb="FF000000"/>
        <rFont val="Calibri"/>
        <family val="2"/>
        <scheme val="minor"/>
      </rPr>
      <t>)</t>
    </r>
  </si>
  <si>
    <t>&lt;-- 1: Link in Net Income from the Income Statement</t>
  </si>
  <si>
    <t>&lt;-- 3: Calculate CFO (NI + D&amp;A + SBC + Change in NWC)</t>
  </si>
  <si>
    <t>&lt;-- 4: Sum up Capital Expenditures to calculate CFI</t>
  </si>
  <si>
    <t>&lt;-- 5: Sum up Debt &amp; Equity cash flows to calculate CFF</t>
  </si>
  <si>
    <t>&lt;-- 6: Sum up CFO + CFI + CFF to calculate the Change in Cash</t>
  </si>
  <si>
    <t>&lt;-- 2: Project COGS using Gross Margin below</t>
  </si>
  <si>
    <t>&lt;-- 4: Leave Interest Income BLANK for now</t>
  </si>
  <si>
    <t>&lt;-- 5: Leave Interest Expense BLANK for now</t>
  </si>
  <si>
    <t>&lt;-- 6: Project Income Tax Expense using the tax rate % below</t>
  </si>
  <si>
    <t>&lt;-- 7: Enter in zero for non-recurring items as zero going forward for all years (hard code)</t>
  </si>
  <si>
    <t>&lt;-- 3: Project SG&amp;A using % of Revenue below</t>
  </si>
  <si>
    <t>&lt;-- 1: Sum to Gross Profit (Historical + Projected)</t>
  </si>
  <si>
    <t>&lt;-- 2: Sum to EBIT (Historical + Projected)</t>
  </si>
  <si>
    <t>&lt;-- 3: Sum to Pre-Tax Income  (Historical + Projected)</t>
  </si>
  <si>
    <t>&lt;-- 4: Sum to Net Income   (Historical + Projected)</t>
  </si>
  <si>
    <t>&lt;-- 7: Link EBIT from Income Statement (Historical + Projected)</t>
  </si>
  <si>
    <t>&lt;-- 8: Sum to EBITDA (Historical + Projected)</t>
  </si>
  <si>
    <t>&lt;-- 9: Sum to Adjusted EBITDA (Historical + Projected)</t>
  </si>
  <si>
    <t>&lt;-- 10: Calculate % growth (Historical Only)</t>
  </si>
  <si>
    <t>&lt;-- 11: Calculate margin % (Historical Only)</t>
  </si>
  <si>
    <t>&lt;-- 12: Calculate % of Revenue (Historical Only)</t>
  </si>
  <si>
    <t>&lt;-- 14: Calculate % growth (Historical + Projected)</t>
  </si>
  <si>
    <t>&lt;-- 6: Calculate Diluted Earnings Per Share (Historical only)</t>
  </si>
  <si>
    <t>&lt;-- 5: Calculate Basic Earnings Per Share (Historical only)</t>
  </si>
  <si>
    <t>&lt;-- 15: Calculate % growth (Historical + Projected)</t>
  </si>
  <si>
    <t>&lt;-- 16: Calculate % growth (Historical + Projected)</t>
  </si>
  <si>
    <t>&lt;-- 17: Calculate historical tax rate % (Historical Only)</t>
  </si>
  <si>
    <t>&lt;-- 18: Calculate % of sales (Historical + Projected)</t>
  </si>
  <si>
    <t>&lt;-- 6: Link in Stock Repurchases from the Treasury Stock schedule</t>
  </si>
  <si>
    <t>&lt;-- 2: Link in Basic Shares from the Income Statement (Historical Only)</t>
  </si>
  <si>
    <t>&lt;-- 3: Link in Diluted Shares from the Income Statement (Historical Only)</t>
  </si>
  <si>
    <t>&lt;-- 7: Sum up the two lines above</t>
  </si>
  <si>
    <t>&lt;-- 8: Link the 10x multiple assumption across all years</t>
  </si>
  <si>
    <t>&lt;-- 9: Calculate the Price/Share in each year (Diluted EPS * P/E Ratio)</t>
  </si>
  <si>
    <t>&lt;-- 10: Calculate the number of Shares Issued (Shares Issued - $'s ÷ Price/Share)</t>
  </si>
  <si>
    <t>&lt;-- 11: Calculate the number of Shares Repurchased (Shares Repurchased - $'s ÷ Price/Share)</t>
  </si>
  <si>
    <t>&lt;-- 12: Sum up the two lines above</t>
  </si>
  <si>
    <t>&lt;-- 14: Link in Net Shares Issued / (Repurchased) for # of Shares from above</t>
  </si>
  <si>
    <t>&lt;-- 15: Sum up the Beginning Balance and Net Shares Issued / (Repurchased)</t>
  </si>
  <si>
    <t>&lt;-- 16: Link in EOP Basic Shares from below</t>
  </si>
  <si>
    <t>&lt;-- 17: Carry forward impact of dilution (each year will be the same as the last projected historical)</t>
  </si>
  <si>
    <t>&lt;-- 18: Sum up Basic Shares and Impact of Dilution</t>
  </si>
  <si>
    <t>&lt;-- 19: Link in Basic Shares from Share Mechanics schedule</t>
  </si>
  <si>
    <t>&lt;-- 20: Calculate Basic Earnings Per Share (Net Income / Basic Shares)</t>
  </si>
  <si>
    <t>&lt;-- 21: Link in Diluted Shares from Share Mechanics schedule</t>
  </si>
  <si>
    <t>&lt;-- 22: Calculate Diluted Earnings Per Share (Net Income / Diluted Shares)</t>
  </si>
  <si>
    <t>&lt;-- 1: Link from the Income Statement</t>
  </si>
  <si>
    <t>&lt;-- 2: Calculate growth %</t>
  </si>
  <si>
    <t>Adj. EBITDA / [Interest Expense / (Income), Net]</t>
  </si>
  <si>
    <t>Equity</t>
  </si>
  <si>
    <t>&lt;-- 3: Link from the schedule below the Income Statement</t>
  </si>
  <si>
    <t>&lt;-- 4: Calculate Margin %</t>
  </si>
  <si>
    <t>&lt;-- 5: Link from the Income Statement</t>
  </si>
  <si>
    <t>&lt;-- 6: Link from the Cash Flow Statement</t>
  </si>
  <si>
    <t>&lt;-- 7: Calculate % of Revenue</t>
  </si>
  <si>
    <t>&lt;-- 9: Link from above</t>
  </si>
  <si>
    <t>&lt;-- 10: Link from the Income Statement</t>
  </si>
  <si>
    <t>&lt;-- 11: Link from the Cash Flow Statement</t>
  </si>
  <si>
    <t>&lt;-- 12: Link from the Cash Flow Statement</t>
  </si>
  <si>
    <t>&lt;-- 13: Sum up all the components of Free Cash Flow</t>
  </si>
  <si>
    <t>&lt;-- 15: Link from the Balance Sheet</t>
  </si>
  <si>
    <t>&lt;-- 16: Link from the Balance Sheet</t>
  </si>
  <si>
    <t>&lt;-- 17: Link from the Balance Sheet</t>
  </si>
  <si>
    <t>&lt;-- 18: Sum up the components of Debt</t>
  </si>
  <si>
    <t>&lt;-- 20: Sum up Debt and Equity</t>
  </si>
  <si>
    <t>&lt;-- 21: Calculate the Ratio</t>
  </si>
  <si>
    <t>&lt;-- 22: Calculate the Ratio</t>
  </si>
  <si>
    <t>&lt;-- 19: Sum up Common Stock, Treasury Stock and Retained Earnings from the Balance Sheet</t>
  </si>
  <si>
    <t>&lt;-- 14: Calculate the cumulative Free Cash Flow</t>
  </si>
  <si>
    <t>&lt;-- 3: Sum up the Revolver and Balance Sheet checks</t>
  </si>
  <si>
    <t>&lt;-- 4: In column A (the entire column), create conditional formatting to change Column A to an Orange/Yellow bar if the Overall Check doesn't equal 0</t>
  </si>
  <si>
    <t>&lt;-- 2: Use an OFFSET function to select a case based on the case selector cell in D10</t>
  </si>
  <si>
    <t>&lt;-- 3: Use an OFFSET function to select a case based on the case selector cell in D10</t>
  </si>
  <si>
    <t>&lt;--4: Use an OFFSET function to select a case based on the case selector cell in D10</t>
  </si>
  <si>
    <t>SCENARIO ANALYSIS (LOOK-UP TABLES)</t>
  </si>
  <si>
    <t>&lt;-- 5: Link in values for the projections from the  Scenario Analysis (Lookup Tables) below</t>
  </si>
  <si>
    <t>&lt;-- 6: Link in values for the projections from the  Scenario Analysis (Lookup Tables) below</t>
  </si>
  <si>
    <t>&lt;-- 7: Link in values for the projections from the  Scenario Analysis (Lookup Tables) below</t>
  </si>
  <si>
    <t>Revenue Growth</t>
  </si>
  <si>
    <t>Gross</t>
  </si>
  <si>
    <t>Margin</t>
  </si>
  <si>
    <t>-Gross Margin ranges from 44.2% to 44.6% in 0.1% increments</t>
  </si>
  <si>
    <t>SENSITIVITY ANALYSIS</t>
  </si>
  <si>
    <t>-Revenue growth ranges from 0-10% in 2.5% increments</t>
  </si>
  <si>
    <t>&lt;-- 2: Sum up the total change in Net Working Capital (rows 160-167 ONLY)</t>
  </si>
  <si>
    <t>&lt;-- 9: Link in Depreciation from the Cash Flow Statement</t>
  </si>
  <si>
    <t>Excess Cash Flow (Before Equity Items)</t>
  </si>
  <si>
    <t>Excess Cash Flow (After Equity Items)</t>
  </si>
  <si>
    <t>Plus: Excess Cash Flow (After Equity Items)</t>
  </si>
  <si>
    <t>Excess Cash Flow Calculations:</t>
  </si>
  <si>
    <t>&lt;-- 4: Calculate the impact of Dilution (Diluted Shares - Basic Shares)…(Historical Only)</t>
  </si>
  <si>
    <t>EBITDA (Excl SBC)</t>
  </si>
  <si>
    <t>&lt;-- 8: Link from the schedule below the Income Statement and the Cash Flow Statement</t>
  </si>
  <si>
    <t>Less: Net Interest Expense</t>
  </si>
  <si>
    <t>&lt;-- 21: Create Balance Sheet check using IF statement to output Assets - (Liabilities + Owners' Equity) if the absolute value of the Assets - (Liabilities + Owners' Equity) calculation is greater than .0001</t>
  </si>
  <si>
    <t>Upside (Bull) Case</t>
  </si>
  <si>
    <t>Downside (Bear) Case</t>
  </si>
  <si>
    <t>2021 Net Income Sensitivity Table</t>
  </si>
  <si>
    <t>&lt;-- 13: Calculate margin % (Historical + Projected)</t>
  </si>
  <si>
    <t>&lt;-- 5: Calculate historical % of Total Expenses</t>
  </si>
  <si>
    <t>&lt;-- 7: Calculate Historical and Projected Net Working Capital (Current Assets [Excl Cash] - Current Liabilities)</t>
  </si>
  <si>
    <t>&lt;-- 8: Calculate Historical and Projected Net Working Capital (Current Assets [Excl Cash] - Current Liabilities)</t>
  </si>
  <si>
    <t>&lt;-- 1: Create IF statement that outputs zero only when the sum of all Balance Sheet checks equal zero</t>
  </si>
  <si>
    <t>&lt;-- 2: Create IF statement that outputs zero only when the sum of all Revolver checks equal zero</t>
  </si>
  <si>
    <t>&lt;-- 1: Set a value (1-3) for your case selector. Start with 2, so you can compare to the answer on the next page</t>
  </si>
  <si>
    <t>&lt;-- 12: Link the ending balance for each period from the Common Stock schedule</t>
  </si>
  <si>
    <t>&lt;-- 13: Link the ending balance for each period from the Treasury Stock schedule</t>
  </si>
  <si>
    <t>&lt;-- 7: Link in Common Stock Issuance from the Common Stock schedule</t>
  </si>
  <si>
    <t>&lt;-- 8: Link in Stock Repurchases from the Treasury Stock schedule</t>
  </si>
  <si>
    <t>&lt;-- 9: Link in Common Stock Issuance from the Debt Waterfall</t>
  </si>
  <si>
    <t>&lt;-- 10: Link in Stock Repurchases from Debt Waterfall</t>
  </si>
  <si>
    <t>&lt;-- 11: Link in Stock-Based Compensation Expense from the Common Stock schedule</t>
  </si>
  <si>
    <t>&lt;-- 7: Link in Dividends from the Debt Waterfall</t>
  </si>
  <si>
    <t>&lt;-- 8: Link the ending balance for each period from the Retained Earnings schedule</t>
  </si>
  <si>
    <t>&lt;-- 5: Link prior period ending balance in first year from the Balance Sheet for all years</t>
  </si>
  <si>
    <t>&lt;-- 7: Link in Excess Cash Flow (After Equity Items) from above</t>
  </si>
  <si>
    <t>&lt;-- 9: Link prior period ending balance in first year (from the Balance Sheet); for all years beyond the first year the beginning balance equals the prior period end</t>
  </si>
  <si>
    <t>&lt;-- 10: Use a -MIN function to calculate paydown based on Cash Available for Optional Debt Repayment</t>
  </si>
  <si>
    <t>&lt;-- 11: Sum up the Beginning Balance and Optional Repayments</t>
  </si>
  <si>
    <t>&lt;-- 12: Set up check to output 1 if the EOP Revolving Credit Facility Balance is greater than RCF Capacity</t>
  </si>
  <si>
    <t>&lt;-- 13: Link in Optional Repayments from the Revolving Credit Facility schedule below</t>
  </si>
  <si>
    <t>&lt;-- 14: Sum up Revolving Credit Facility payments in the row above</t>
  </si>
  <si>
    <t>&lt;-- 16: Link the ending balance for each period from the Revolving Credit Facility schedule</t>
  </si>
  <si>
    <t>Revenue YoY Growth</t>
  </si>
  <si>
    <t>SG&amp;A as % of Revenue</t>
  </si>
  <si>
    <t>&lt;-- 3: Link in Mandatory Repayments from the Long-Term Debt schedule</t>
  </si>
  <si>
    <t>How Does 2021 Net Income Change When:</t>
  </si>
  <si>
    <t>&lt;-- 2: Calculate historical Payout Ratio</t>
  </si>
  <si>
    <t>&lt;-- 4: Calculate projected Dividends Paid using the % of Net Income ("Payout Ratio") assumption below</t>
  </si>
  <si>
    <t>&lt;-- 15: Link in Optional Repayments from the section below</t>
  </si>
  <si>
    <t>&lt;-- 4: Sum up Excess Cash (Before Equity Items), Common Stock Issuance, Stock Repurchases and Dividends Paid</t>
  </si>
  <si>
    <t>&lt;-- 1: Project Revenue using the Revenue Growth YOY % below</t>
  </si>
  <si>
    <t>&lt;-- 8: Sum up Beginning Cash Balance, Minimum Cash Balance, and Excess Cash Flow (After Equity Items)</t>
  </si>
  <si>
    <t>&lt;-- 5: Link in Mandatory Repayments on Debt Waterfall below</t>
  </si>
  <si>
    <t>&lt;-- 5: Link in the sum of New Stock Issuances + Stock-Based Compensation Expense from the Common Stock schedule</t>
  </si>
  <si>
    <t>CapEx</t>
  </si>
  <si>
    <t>Depreciation</t>
  </si>
  <si>
    <t>Dividends</t>
  </si>
  <si>
    <t>Payout Ratio %</t>
  </si>
  <si>
    <t>New Stock Issuances</t>
  </si>
  <si>
    <t>Stock-Based Compensation Expense</t>
  </si>
  <si>
    <t>Net Working Capital</t>
  </si>
  <si>
    <t>Other Key Metrics</t>
  </si>
  <si>
    <t>CASH + INTEREST INCOME</t>
  </si>
  <si>
    <t>Change in Cash</t>
  </si>
  <si>
    <t>KEY DRIVERS</t>
  </si>
  <si>
    <t>Working Capital:</t>
  </si>
  <si>
    <t>Common Errors 1</t>
  </si>
  <si>
    <t>Common Errors 2</t>
  </si>
  <si>
    <t>Common Stock missing Stock-Based Compensation Expense addition</t>
  </si>
  <si>
    <t xml:space="preserve">Stock Repurchases sign flipped in Treasury Stock </t>
  </si>
  <si>
    <t>Accounts Payable &amp; Accrued Expense changes in Cash Flow Statement have flipped signs</t>
  </si>
  <si>
    <t>Dividend sign flipped in Retained Earnings</t>
  </si>
  <si>
    <t>Capex sign flipped in Property Plant &amp; Equipment</t>
  </si>
  <si>
    <t>Missing Stock-Based Compensation Expense addback in Cash Flow Statement</t>
  </si>
  <si>
    <t>Prepaid Expense change in Cash Flow Statement same as Inventory</t>
  </si>
  <si>
    <t>&lt;-- 13: Link prior period ending balance in first year (from Row 298); for all years beyond the first year the beginning balance equals the prior period end</t>
  </si>
  <si>
    <t>&lt;-- 2: Calculate PP&amp;E using the Capital Expenditure &amp; Depreciation assumptions in the Grey "Key Metrics" box</t>
  </si>
  <si>
    <t>&lt;-- 3: Calculate Common Stock using the New Stock Issuances &amp; Stock-Based Compensation Expense assumptions in the Grey "Key Metrics" box</t>
  </si>
  <si>
    <t>&lt;-- 6: Link in Depreciation from the Grey "Key Metrics" box</t>
  </si>
  <si>
    <t>&lt;-- 7: Link in Stock-Based Compensation Expense from the Grey "Key Metrics" box</t>
  </si>
  <si>
    <t>&lt;-- 4: Calculate Treasury Stock using the Stock Repurchases assumption in the Grey "Key Metrics" box</t>
  </si>
  <si>
    <t>&lt;-- 5: Calculate Retained Earnings using Net Income from the Income Statement and Dividend assumption in the Grey "Key Metrics" box</t>
  </si>
  <si>
    <t>&lt;-- 8: Link in Capital Expenditures from the Grey "Key Metrics" box</t>
  </si>
  <si>
    <t>&lt;-- 9: Link in New Stock Issuances from the Grey "Key Metrics" box</t>
  </si>
  <si>
    <t>&lt;-- 11: Link in Dividends from the Grey "Key Metrics" box</t>
  </si>
  <si>
    <t>&lt;-- 10: Link in Stock Repurchases from the Grey "Key Metrics" box</t>
  </si>
  <si>
    <t>&lt;-- 13: Link in Stock Repurchases from the Grey "Key Metrics" box</t>
  </si>
  <si>
    <t>&lt;-- 3: Set the starting balance for Long-Term Debt at $50</t>
  </si>
  <si>
    <t>&lt;-- 1: Copy/Paste the value (not the formula!) for the ending Cash Balance from 2020A from the prior tab</t>
  </si>
  <si>
    <t>&lt;-- 2: Set the starting balance for the Revolving Credit Facility at $0</t>
  </si>
  <si>
    <t>&lt;-- 4: Carry the 2020A assumption for Net Working Capital % of Revenue forward for all years</t>
  </si>
  <si>
    <t>&lt;-- 5: Use the Net Working Capital % of Revenue assumption to calculate total projected Net Working Capital</t>
  </si>
  <si>
    <r>
      <t>&lt;-- 6: Calculate source/use of cash impact (</t>
    </r>
    <r>
      <rPr>
        <b/>
        <u/>
        <sz val="10"/>
        <color theme="1"/>
        <rFont val="Calibri"/>
        <family val="2"/>
      </rPr>
      <t>PRIOR - CURRENT</t>
    </r>
    <r>
      <rPr>
        <sz val="10"/>
        <color theme="1"/>
        <rFont val="Calibri"/>
        <family val="2"/>
        <scheme val="minor"/>
      </rPr>
      <t>)</t>
    </r>
  </si>
  <si>
    <t>&lt;-- 14: Press Shift + Spacebar in the row below and highlight down to the bottom of the orange range. Then press Alt, E, D.</t>
  </si>
  <si>
    <t>&lt;-- 1: Link in Depreciation from the Grey "Key Metrics" box</t>
  </si>
  <si>
    <t>BOP Cash Balance</t>
  </si>
  <si>
    <t>EOP Cash Balance</t>
  </si>
  <si>
    <t>&lt;-- 6: Link in the Minimum Cash assumption from our Assumptions section at the top of the model (same assumption for all years)</t>
  </si>
  <si>
    <t>&lt;-- 1: Add Net Change in Cash from the Cash Flow Statement to calculate each year's ending cash balance</t>
  </si>
  <si>
    <t>&lt;-- 12: Link in New Stock Issuances + Stock Based Compensation Expense from the Grey "Key Metrics"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</si>
</sst>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&quot;On&quot;;&quot;NA&quot;;&quot;Off&quot;"/>
    <numFmt numFmtId="165" formatCode="_([$$]#,##0.0_);\([$$]#,##0.0\);_(@_)"/>
    <numFmt numFmtId="166" formatCode="0&quot;E&quot;"/>
    <numFmt numFmtId="167" formatCode="_(#,##0_);\(#,##0\);_(&quot;–&quot;_);_(@_)"/>
    <numFmt numFmtId="168" formatCode="_(#,##0.0_);\(#,##0.0\);_(&quot;–&quot;_);_(@_)"/>
    <numFmt numFmtId="169" formatCode="_(0.0\x_);_(\(0.0\x\);_(&quot;–&quot;_)_%;_(@_)_%"/>
    <numFmt numFmtId="170" formatCode="_(#,##0.0%_);\(#,##0.0%\);_(&quot;–&quot;_)_%;_(@_)_%"/>
    <numFmt numFmtId="171" formatCode="0&quot;A&quot;"/>
    <numFmt numFmtId="172" formatCode="_(#,##0.00_);\(#,##0.00\);_(&quot;–&quot;_);_(@_)"/>
    <numFmt numFmtId="173" formatCode="0.0000000000000000_);\(0.0000000000000000\)"/>
    <numFmt numFmtId="174" formatCode="0&quot; days&quot;"/>
    <numFmt numFmtId="175" formatCode="_([$$]#,##0_);\([$$]#,##0\);_(@_)"/>
    <numFmt numFmtId="176" formatCode="&quot;$&quot;#,##0.0_);\(&quot;$&quot;#,##0.0\)"/>
    <numFmt numFmtId="177" formatCode="#,##0.0_);\(#,##0.0\);\-\-_);@_)"/>
    <numFmt numFmtId="178" formatCode="[$$]#,##0.0_);\([$$]#,##0.0\);&quot;$&quot;\ \-\-_);@_)"/>
    <numFmt numFmtId="179" formatCode="_([$$]#,##0.00_);\([$$]#,##0.00\);_(@_)"/>
    <numFmt numFmtId="180" formatCode="#,##0.0%;\(#,##0.0%\);&quot;–&quot;;@"/>
    <numFmt numFmtId="181" formatCode="_(#,##0.000_);\(#,##0.000\);_(&quot;–&quot;_);_(@_)"/>
    <numFmt numFmtId="182" formatCode="0.0%_);\(0.0%\);\-\-\ \ \ _);@_)"/>
    <numFmt numFmtId="183" formatCode="_([$$]#,##0.0_%;\([$$]#,##0.0\)_(&quot;–&quot;_);_(@_)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000000"/>
      <name val="Calibri"/>
      <family val="2"/>
    </font>
    <font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FFFF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9DAF8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F4CCCC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9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0" xfId="0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6" fontId="2" fillId="0" borderId="2" xfId="0" applyNumberFormat="1" applyFont="1" applyBorder="1" applyAlignment="1">
      <alignment horizontal="centerContinuous"/>
    </xf>
    <xf numFmtId="167" fontId="1" fillId="2" borderId="0" xfId="0" applyNumberFormat="1" applyFont="1" applyFill="1"/>
    <xf numFmtId="0" fontId="1" fillId="0" borderId="3" xfId="0" applyFont="1" applyBorder="1"/>
    <xf numFmtId="0" fontId="1" fillId="0" borderId="4" xfId="0" applyFont="1" applyBorder="1"/>
    <xf numFmtId="167" fontId="1" fillId="2" borderId="5" xfId="0" applyNumberFormat="1" applyFont="1" applyFill="1" applyBorder="1"/>
    <xf numFmtId="0" fontId="2" fillId="0" borderId="4" xfId="0" applyFont="1" applyBorder="1"/>
    <xf numFmtId="165" fontId="1" fillId="0" borderId="0" xfId="0" applyNumberFormat="1" applyFont="1"/>
    <xf numFmtId="0" fontId="6" fillId="0" borderId="0" xfId="0" applyFont="1"/>
    <xf numFmtId="169" fontId="3" fillId="0" borderId="0" xfId="0" applyNumberFormat="1" applyFont="1"/>
    <xf numFmtId="0" fontId="1" fillId="0" borderId="2" xfId="0" applyFont="1" applyBorder="1"/>
    <xf numFmtId="0" fontId="2" fillId="0" borderId="0" xfId="0" applyFont="1"/>
    <xf numFmtId="170" fontId="3" fillId="0" borderId="0" xfId="0" applyNumberFormat="1" applyFont="1"/>
    <xf numFmtId="168" fontId="1" fillId="0" borderId="0" xfId="0" applyNumberFormat="1" applyFont="1"/>
    <xf numFmtId="0" fontId="2" fillId="0" borderId="7" xfId="0" applyFont="1" applyBorder="1"/>
    <xf numFmtId="0" fontId="7" fillId="0" borderId="0" xfId="0" applyFont="1"/>
    <xf numFmtId="0" fontId="8" fillId="3" borderId="3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Continuous"/>
    </xf>
    <xf numFmtId="0" fontId="2" fillId="0" borderId="2" xfId="0" applyFont="1" applyBorder="1"/>
    <xf numFmtId="0" fontId="9" fillId="0" borderId="0" xfId="0" applyFont="1"/>
    <xf numFmtId="0" fontId="8" fillId="3" borderId="5" xfId="0" applyFont="1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171" fontId="2" fillId="0" borderId="2" xfId="0" applyNumberFormat="1" applyFont="1" applyBorder="1" applyAlignment="1">
      <alignment horizontal="centerContinuous"/>
    </xf>
    <xf numFmtId="171" fontId="2" fillId="0" borderId="8" xfId="0" applyNumberFormat="1" applyFont="1" applyBorder="1" applyAlignment="1">
      <alignment horizontal="centerContinuous"/>
    </xf>
    <xf numFmtId="0" fontId="7" fillId="0" borderId="0" xfId="0" applyFont="1" applyAlignment="1">
      <alignment horizontal="left" indent="1"/>
    </xf>
    <xf numFmtId="0" fontId="1" fillId="0" borderId="9" xfId="0" applyFont="1" applyBorder="1"/>
    <xf numFmtId="0" fontId="7" fillId="0" borderId="9" xfId="0" applyFont="1" applyBorder="1"/>
    <xf numFmtId="0" fontId="2" fillId="0" borderId="9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Continuous"/>
    </xf>
    <xf numFmtId="165" fontId="1" fillId="0" borderId="9" xfId="0" applyNumberFormat="1" applyFont="1" applyBorder="1"/>
    <xf numFmtId="172" fontId="1" fillId="0" borderId="9" xfId="0" applyNumberFormat="1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2" fillId="0" borderId="8" xfId="0" applyFont="1" applyBorder="1"/>
    <xf numFmtId="167" fontId="1" fillId="0" borderId="0" xfId="0" applyNumberFormat="1" applyFont="1"/>
    <xf numFmtId="171" fontId="2" fillId="0" borderId="0" xfId="0" applyNumberFormat="1" applyFont="1" applyAlignment="1">
      <alignment horizontal="centerContinuous"/>
    </xf>
    <xf numFmtId="171" fontId="2" fillId="0" borderId="9" xfId="0" applyNumberFormat="1" applyFont="1" applyBorder="1" applyAlignment="1">
      <alignment horizontal="centerContinuous"/>
    </xf>
    <xf numFmtId="165" fontId="3" fillId="0" borderId="6" xfId="0" applyNumberFormat="1" applyFont="1" applyBorder="1"/>
    <xf numFmtId="165" fontId="3" fillId="0" borderId="13" xfId="0" applyNumberFormat="1" applyFont="1" applyBorder="1"/>
    <xf numFmtId="168" fontId="3" fillId="0" borderId="0" xfId="0" applyNumberFormat="1" applyFont="1"/>
    <xf numFmtId="168" fontId="3" fillId="0" borderId="9" xfId="0" applyNumberFormat="1" applyFont="1" applyBorder="1"/>
    <xf numFmtId="168" fontId="9" fillId="0" borderId="6" xfId="0" applyNumberFormat="1" applyFont="1" applyBorder="1"/>
    <xf numFmtId="168" fontId="9" fillId="0" borderId="13" xfId="0" applyNumberFormat="1" applyFont="1" applyBorder="1"/>
    <xf numFmtId="165" fontId="10" fillId="0" borderId="6" xfId="0" applyNumberFormat="1" applyFont="1" applyBorder="1"/>
    <xf numFmtId="165" fontId="10" fillId="0" borderId="13" xfId="0" applyNumberFormat="1" applyFont="1" applyBorder="1"/>
    <xf numFmtId="0" fontId="9" fillId="0" borderId="6" xfId="0" applyFont="1" applyBorder="1"/>
    <xf numFmtId="0" fontId="9" fillId="0" borderId="13" xfId="0" applyFont="1" applyBorder="1"/>
    <xf numFmtId="0" fontId="9" fillId="0" borderId="9" xfId="0" applyFont="1" applyBorder="1"/>
    <xf numFmtId="0" fontId="1" fillId="0" borderId="8" xfId="0" applyFont="1" applyBorder="1"/>
    <xf numFmtId="170" fontId="9" fillId="0" borderId="0" xfId="0" applyNumberFormat="1" applyFont="1"/>
    <xf numFmtId="170" fontId="9" fillId="0" borderId="9" xfId="0" applyNumberFormat="1" applyFont="1" applyBorder="1"/>
    <xf numFmtId="170" fontId="1" fillId="0" borderId="0" xfId="0" applyNumberFormat="1" applyFont="1"/>
    <xf numFmtId="170" fontId="1" fillId="0" borderId="9" xfId="0" applyNumberFormat="1" applyFont="1" applyBorder="1"/>
    <xf numFmtId="170" fontId="9" fillId="0" borderId="2" xfId="0" applyNumberFormat="1" applyFont="1" applyBorder="1"/>
    <xf numFmtId="170" fontId="9" fillId="0" borderId="8" xfId="0" applyNumberFormat="1" applyFont="1" applyBorder="1"/>
    <xf numFmtId="0" fontId="1" fillId="0" borderId="6" xfId="0" applyFont="1" applyBorder="1"/>
    <xf numFmtId="168" fontId="3" fillId="0" borderId="2" xfId="0" applyNumberFormat="1" applyFont="1" applyBorder="1"/>
    <xf numFmtId="165" fontId="10" fillId="0" borderId="4" xfId="0" applyNumberFormat="1" applyFont="1" applyBorder="1"/>
    <xf numFmtId="165" fontId="10" fillId="0" borderId="5" xfId="0" applyNumberFormat="1" applyFont="1" applyBorder="1"/>
    <xf numFmtId="165" fontId="2" fillId="0" borderId="4" xfId="0" applyNumberFormat="1" applyFont="1" applyBorder="1"/>
    <xf numFmtId="174" fontId="9" fillId="0" borderId="0" xfId="0" applyNumberFormat="1" applyFont="1"/>
    <xf numFmtId="174" fontId="3" fillId="0" borderId="6" xfId="0" applyNumberFormat="1" applyFont="1" applyBorder="1"/>
    <xf numFmtId="174" fontId="3" fillId="0" borderId="0" xfId="0" applyNumberFormat="1" applyFont="1"/>
    <xf numFmtId="169" fontId="9" fillId="0" borderId="0" xfId="0" applyNumberFormat="1" applyFont="1"/>
    <xf numFmtId="170" fontId="1" fillId="0" borderId="2" xfId="0" applyNumberFormat="1" applyFont="1" applyBorder="1"/>
    <xf numFmtId="168" fontId="1" fillId="0" borderId="2" xfId="0" applyNumberFormat="1" applyFont="1" applyBorder="1"/>
    <xf numFmtId="175" fontId="2" fillId="0" borderId="0" xfId="0" applyNumberFormat="1" applyFont="1"/>
    <xf numFmtId="170" fontId="3" fillId="0" borderId="10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2" borderId="16" xfId="0" applyFont="1" applyFill="1" applyBorder="1" applyAlignment="1">
      <alignment horizontal="center"/>
    </xf>
    <xf numFmtId="0" fontId="12" fillId="0" borderId="14" xfId="0" applyFont="1" applyBorder="1"/>
    <xf numFmtId="0" fontId="12" fillId="0" borderId="6" xfId="0" applyFont="1" applyBorder="1"/>
    <xf numFmtId="0" fontId="12" fillId="0" borderId="16" xfId="0" applyFont="1" applyBorder="1" applyAlignment="1">
      <alignment horizontal="center"/>
    </xf>
    <xf numFmtId="0" fontId="12" fillId="0" borderId="15" xfId="0" applyFont="1" applyBorder="1"/>
    <xf numFmtId="0" fontId="12" fillId="0" borderId="11" xfId="0" applyFont="1" applyBorder="1" applyAlignment="1">
      <alignment horizontal="center"/>
    </xf>
    <xf numFmtId="0" fontId="12" fillId="0" borderId="7" xfId="0" applyFont="1" applyBorder="1"/>
    <xf numFmtId="0" fontId="12" fillId="0" borderId="2" xfId="0" applyFont="1" applyBorder="1"/>
    <xf numFmtId="0" fontId="12" fillId="0" borderId="12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/>
    <xf numFmtId="0" fontId="1" fillId="0" borderId="0" xfId="0" applyFont="1" applyBorder="1"/>
    <xf numFmtId="165" fontId="2" fillId="0" borderId="0" xfId="0" applyNumberFormat="1" applyFont="1" applyBorder="1"/>
    <xf numFmtId="176" fontId="12" fillId="0" borderId="0" xfId="0" applyNumberFormat="1" applyFont="1"/>
    <xf numFmtId="176" fontId="11" fillId="0" borderId="0" xfId="0" applyNumberFormat="1" applyFont="1"/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171" fontId="11" fillId="0" borderId="0" xfId="0" applyNumberFormat="1" applyFont="1" applyAlignment="1">
      <alignment horizontal="centerContinuous"/>
    </xf>
    <xf numFmtId="177" fontId="12" fillId="0" borderId="6" xfId="0" applyNumberFormat="1" applyFont="1" applyBorder="1"/>
    <xf numFmtId="178" fontId="12" fillId="2" borderId="6" xfId="0" applyNumberFormat="1" applyFont="1" applyFill="1" applyBorder="1"/>
    <xf numFmtId="177" fontId="12" fillId="0" borderId="0" xfId="0" applyNumberFormat="1" applyFont="1"/>
    <xf numFmtId="177" fontId="12" fillId="0" borderId="2" xfId="0" applyNumberFormat="1" applyFont="1" applyBorder="1"/>
    <xf numFmtId="0" fontId="11" fillId="0" borderId="4" xfId="0" applyFont="1" applyBorder="1"/>
    <xf numFmtId="0" fontId="12" fillId="0" borderId="4" xfId="0" applyFont="1" applyBorder="1"/>
    <xf numFmtId="177" fontId="12" fillId="0" borderId="4" xfId="0" applyNumberFormat="1" applyFont="1" applyBorder="1"/>
    <xf numFmtId="0" fontId="12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68" fontId="1" fillId="0" borderId="0" xfId="0" applyNumberFormat="1" applyFont="1" applyBorder="1"/>
    <xf numFmtId="169" fontId="3" fillId="0" borderId="0" xfId="0" applyNumberFormat="1" applyFont="1" applyBorder="1"/>
    <xf numFmtId="170" fontId="3" fillId="0" borderId="0" xfId="0" applyNumberFormat="1" applyFont="1" applyBorder="1"/>
    <xf numFmtId="174" fontId="3" fillId="0" borderId="0" xfId="0" applyNumberFormat="1" applyFont="1" applyBorder="1"/>
    <xf numFmtId="165" fontId="1" fillId="0" borderId="0" xfId="0" applyNumberFormat="1" applyFont="1" applyBorder="1"/>
    <xf numFmtId="168" fontId="3" fillId="0" borderId="8" xfId="0" applyNumberFormat="1" applyFont="1" applyBorder="1"/>
    <xf numFmtId="165" fontId="1" fillId="0" borderId="0" xfId="0" applyNumberFormat="1" applyFont="1" applyFill="1" applyBorder="1"/>
    <xf numFmtId="165" fontId="1" fillId="0" borderId="6" xfId="0" applyNumberFormat="1" applyFont="1" applyFill="1" applyBorder="1"/>
    <xf numFmtId="167" fontId="1" fillId="0" borderId="0" xfId="0" applyNumberFormat="1" applyFont="1" applyBorder="1"/>
    <xf numFmtId="165" fontId="1" fillId="0" borderId="9" xfId="0" applyNumberFormat="1" applyFont="1" applyFill="1" applyBorder="1"/>
    <xf numFmtId="167" fontId="1" fillId="0" borderId="9" xfId="0" applyNumberFormat="1" applyFont="1" applyFill="1" applyBorder="1"/>
    <xf numFmtId="168" fontId="1" fillId="0" borderId="8" xfId="0" applyNumberFormat="1" applyFont="1" applyFill="1" applyBorder="1"/>
    <xf numFmtId="165" fontId="2" fillId="0" borderId="9" xfId="0" applyNumberFormat="1" applyFont="1" applyFill="1" applyBorder="1"/>
    <xf numFmtId="0" fontId="1" fillId="0" borderId="9" xfId="0" applyFont="1" applyFill="1" applyBorder="1"/>
    <xf numFmtId="169" fontId="9" fillId="0" borderId="9" xfId="0" applyNumberFormat="1" applyFont="1" applyFill="1" applyBorder="1"/>
    <xf numFmtId="179" fontId="10" fillId="0" borderId="4" xfId="0" applyNumberFormat="1" applyFont="1" applyBorder="1"/>
    <xf numFmtId="179" fontId="10" fillId="0" borderId="5" xfId="0" applyNumberFormat="1" applyFont="1" applyBorder="1"/>
    <xf numFmtId="165" fontId="2" fillId="0" borderId="0" xfId="0" applyNumberFormat="1" applyFont="1"/>
    <xf numFmtId="170" fontId="9" fillId="0" borderId="0" xfId="0" applyNumberFormat="1" applyFont="1" applyFill="1"/>
    <xf numFmtId="165" fontId="3" fillId="0" borderId="0" xfId="0" applyNumberFormat="1" applyFont="1" applyFill="1"/>
    <xf numFmtId="165" fontId="3" fillId="0" borderId="13" xfId="0" applyNumberFormat="1" applyFont="1" applyFill="1" applyBorder="1"/>
    <xf numFmtId="168" fontId="3" fillId="0" borderId="0" xfId="0" applyNumberFormat="1" applyFont="1" applyFill="1"/>
    <xf numFmtId="168" fontId="3" fillId="0" borderId="9" xfId="0" applyNumberFormat="1" applyFont="1" applyFill="1" applyBorder="1"/>
    <xf numFmtId="168" fontId="9" fillId="0" borderId="0" xfId="0" applyNumberFormat="1" applyFont="1" applyFill="1" applyBorder="1"/>
    <xf numFmtId="168" fontId="9" fillId="0" borderId="0" xfId="0" applyNumberFormat="1" applyFont="1" applyFill="1"/>
    <xf numFmtId="168" fontId="1" fillId="0" borderId="0" xfId="0" applyNumberFormat="1" applyFont="1" applyFill="1" applyBorder="1"/>
    <xf numFmtId="168" fontId="1" fillId="0" borderId="0" xfId="0" applyNumberFormat="1" applyFont="1" applyFill="1"/>
    <xf numFmtId="168" fontId="3" fillId="0" borderId="2" xfId="0" applyNumberFormat="1" applyFont="1" applyFill="1" applyBorder="1"/>
    <xf numFmtId="168" fontId="3" fillId="0" borderId="8" xfId="0" applyNumberFormat="1" applyFont="1" applyFill="1" applyBorder="1"/>
    <xf numFmtId="168" fontId="1" fillId="0" borderId="2" xfId="0" applyNumberFormat="1" applyFont="1" applyFill="1" applyBorder="1"/>
    <xf numFmtId="168" fontId="2" fillId="0" borderId="9" xfId="0" applyNumberFormat="1" applyFont="1" applyFill="1" applyBorder="1"/>
    <xf numFmtId="168" fontId="2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165" fontId="10" fillId="0" borderId="4" xfId="0" applyNumberFormat="1" applyFont="1" applyFill="1" applyBorder="1"/>
    <xf numFmtId="165" fontId="10" fillId="0" borderId="5" xfId="0" applyNumberFormat="1" applyFont="1" applyFill="1" applyBorder="1"/>
    <xf numFmtId="165" fontId="2" fillId="0" borderId="0" xfId="0" applyNumberFormat="1" applyFont="1" applyFill="1"/>
    <xf numFmtId="165" fontId="2" fillId="0" borderId="13" xfId="0" applyNumberFormat="1" applyFont="1" applyFill="1" applyBorder="1"/>
    <xf numFmtId="165" fontId="2" fillId="0" borderId="6" xfId="0" applyNumberFormat="1" applyFont="1" applyFill="1" applyBorder="1"/>
    <xf numFmtId="0" fontId="3" fillId="0" borderId="0" xfId="0" applyFont="1" applyFill="1"/>
    <xf numFmtId="0" fontId="3" fillId="0" borderId="9" xfId="0" applyFont="1" applyFill="1" applyBorder="1"/>
    <xf numFmtId="167" fontId="1" fillId="0" borderId="0" xfId="0" applyNumberFormat="1" applyFont="1" applyFill="1" applyBorder="1"/>
    <xf numFmtId="168" fontId="9" fillId="0" borderId="2" xfId="0" applyNumberFormat="1" applyFont="1" applyFill="1" applyBorder="1"/>
    <xf numFmtId="165" fontId="2" fillId="0" borderId="0" xfId="0" applyNumberFormat="1" applyFont="1" applyFill="1" applyBorder="1"/>
    <xf numFmtId="165" fontId="2" fillId="0" borderId="4" xfId="0" applyNumberFormat="1" applyFont="1" applyFill="1" applyBorder="1"/>
    <xf numFmtId="165" fontId="2" fillId="0" borderId="5" xfId="0" applyNumberFormat="1" applyFont="1" applyFill="1" applyBorder="1"/>
    <xf numFmtId="168" fontId="1" fillId="0" borderId="9" xfId="0" applyNumberFormat="1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165" fontId="1" fillId="0" borderId="0" xfId="0" applyNumberFormat="1" applyFont="1" applyFill="1"/>
    <xf numFmtId="0" fontId="1" fillId="0" borderId="13" xfId="0" applyFont="1" applyBorder="1"/>
    <xf numFmtId="0" fontId="2" fillId="0" borderId="9" xfId="0" applyFont="1" applyBorder="1"/>
    <xf numFmtId="174" fontId="9" fillId="0" borderId="13" xfId="0" applyNumberFormat="1" applyFont="1" applyBorder="1"/>
    <xf numFmtId="169" fontId="9" fillId="0" borderId="9" xfId="0" applyNumberFormat="1" applyFont="1" applyBorder="1"/>
    <xf numFmtId="170" fontId="9" fillId="0" borderId="9" xfId="0" applyNumberFormat="1" applyFont="1" applyFill="1" applyBorder="1"/>
    <xf numFmtId="174" fontId="9" fillId="0" borderId="9" xfId="0" applyNumberFormat="1" applyFont="1" applyBorder="1"/>
    <xf numFmtId="170" fontId="1" fillId="0" borderId="8" xfId="0" applyNumberFormat="1" applyFont="1" applyBorder="1"/>
    <xf numFmtId="0" fontId="3" fillId="0" borderId="2" xfId="0" applyFont="1" applyBorder="1"/>
    <xf numFmtId="176" fontId="11" fillId="0" borderId="4" xfId="0" applyNumberFormat="1" applyFont="1" applyBorder="1"/>
    <xf numFmtId="165" fontId="1" fillId="0" borderId="2" xfId="0" applyNumberFormat="1" applyFont="1" applyFill="1" applyBorder="1"/>
    <xf numFmtId="177" fontId="1" fillId="0" borderId="0" xfId="0" applyNumberFormat="1" applyFont="1" applyFill="1"/>
    <xf numFmtId="177" fontId="1" fillId="0" borderId="2" xfId="0" applyNumberFormat="1" applyFont="1" applyFill="1" applyBorder="1"/>
    <xf numFmtId="180" fontId="3" fillId="0" borderId="10" xfId="0" applyNumberFormat="1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/>
    <xf numFmtId="170" fontId="12" fillId="0" borderId="2" xfId="0" applyNumberFormat="1" applyFont="1" applyBorder="1"/>
    <xf numFmtId="170" fontId="3" fillId="0" borderId="2" xfId="0" applyNumberFormat="1" applyFont="1" applyFill="1" applyBorder="1"/>
    <xf numFmtId="178" fontId="12" fillId="0" borderId="6" xfId="0" applyNumberFormat="1" applyFont="1" applyFill="1" applyBorder="1"/>
    <xf numFmtId="177" fontId="9" fillId="0" borderId="0" xfId="0" applyNumberFormat="1" applyFont="1" applyFill="1"/>
    <xf numFmtId="177" fontId="9" fillId="0" borderId="2" xfId="0" applyNumberFormat="1" applyFont="1" applyFill="1" applyBorder="1"/>
    <xf numFmtId="178" fontId="11" fillId="0" borderId="0" xfId="0" applyNumberFormat="1" applyFont="1" applyFill="1"/>
    <xf numFmtId="177" fontId="3" fillId="0" borderId="2" xfId="0" applyNumberFormat="1" applyFont="1" applyBorder="1"/>
    <xf numFmtId="0" fontId="2" fillId="0" borderId="6" xfId="0" applyFont="1" applyBorder="1"/>
    <xf numFmtId="165" fontId="2" fillId="0" borderId="6" xfId="0" applyNumberFormat="1" applyFont="1" applyBorder="1"/>
    <xf numFmtId="169" fontId="1" fillId="0" borderId="0" xfId="0" applyNumberFormat="1" applyFont="1" applyBorder="1"/>
    <xf numFmtId="179" fontId="2" fillId="0" borderId="6" xfId="0" applyNumberFormat="1" applyFont="1" applyBorder="1"/>
    <xf numFmtId="168" fontId="2" fillId="0" borderId="6" xfId="0" applyNumberFormat="1" applyFont="1" applyBorder="1"/>
    <xf numFmtId="179" fontId="2" fillId="0" borderId="0" xfId="0" applyNumberFormat="1" applyFont="1" applyBorder="1"/>
    <xf numFmtId="168" fontId="2" fillId="0" borderId="0" xfId="0" applyNumberFormat="1" applyFont="1" applyBorder="1"/>
    <xf numFmtId="170" fontId="1" fillId="0" borderId="0" xfId="0" applyNumberFormat="1" applyFont="1" applyBorder="1"/>
    <xf numFmtId="166" fontId="2" fillId="0" borderId="0" xfId="0" applyNumberFormat="1" applyFont="1" applyBorder="1" applyAlignment="1">
      <alignment horizontal="centerContinuous"/>
    </xf>
    <xf numFmtId="0" fontId="1" fillId="0" borderId="17" xfId="0" applyFont="1" applyBorder="1"/>
    <xf numFmtId="167" fontId="9" fillId="0" borderId="0" xfId="0" applyNumberFormat="1" applyFont="1" applyFill="1" applyBorder="1"/>
    <xf numFmtId="177" fontId="17" fillId="0" borderId="2" xfId="0" applyNumberFormat="1" applyFont="1" applyFill="1" applyBorder="1"/>
    <xf numFmtId="165" fontId="9" fillId="0" borderId="6" xfId="0" applyNumberFormat="1" applyFont="1" applyFill="1" applyBorder="1"/>
    <xf numFmtId="165" fontId="10" fillId="0" borderId="6" xfId="0" applyNumberFormat="1" applyFont="1" applyFill="1" applyBorder="1"/>
    <xf numFmtId="168" fontId="9" fillId="0" borderId="6" xfId="0" applyNumberFormat="1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Fill="1"/>
    <xf numFmtId="179" fontId="10" fillId="0" borderId="4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177" fontId="9" fillId="0" borderId="0" xfId="0" applyNumberFormat="1" applyFont="1" applyFill="1" applyBorder="1"/>
    <xf numFmtId="178" fontId="11" fillId="0" borderId="0" xfId="0" applyNumberFormat="1" applyFont="1" applyFill="1" applyBorder="1"/>
    <xf numFmtId="170" fontId="3" fillId="0" borderId="0" xfId="0" applyNumberFormat="1" applyFont="1" applyFill="1" applyBorder="1"/>
    <xf numFmtId="0" fontId="12" fillId="0" borderId="13" xfId="0" applyFont="1" applyBorder="1"/>
    <xf numFmtId="0" fontId="12" fillId="0" borderId="9" xfId="0" applyFont="1" applyBorder="1"/>
    <xf numFmtId="177" fontId="3" fillId="0" borderId="8" xfId="0" applyNumberFormat="1" applyFont="1" applyBorder="1"/>
    <xf numFmtId="170" fontId="12" fillId="0" borderId="8" xfId="0" applyNumberFormat="1" applyFont="1" applyBorder="1"/>
    <xf numFmtId="177" fontId="3" fillId="0" borderId="0" xfId="0" applyNumberFormat="1" applyFont="1" applyFill="1" applyBorder="1"/>
    <xf numFmtId="177" fontId="3" fillId="0" borderId="0" xfId="0" applyNumberFormat="1" applyFont="1" applyFill="1"/>
    <xf numFmtId="177" fontId="12" fillId="0" borderId="2" xfId="0" applyNumberFormat="1" applyFont="1" applyFill="1" applyBorder="1"/>
    <xf numFmtId="165" fontId="1" fillId="0" borderId="17" xfId="0" applyNumberFormat="1" applyFont="1" applyBorder="1"/>
    <xf numFmtId="0" fontId="12" fillId="0" borderId="5" xfId="0" applyFont="1" applyBorder="1"/>
    <xf numFmtId="167" fontId="3" fillId="0" borderId="0" xfId="0" applyNumberFormat="1" applyFont="1" applyFill="1" applyBorder="1"/>
    <xf numFmtId="167" fontId="3" fillId="0" borderId="9" xfId="0" applyNumberFormat="1" applyFont="1" applyFill="1" applyBorder="1"/>
    <xf numFmtId="168" fontId="9" fillId="0" borderId="2" xfId="0" applyNumberFormat="1" applyFont="1" applyFill="1" applyBorder="1" applyAlignment="1"/>
    <xf numFmtId="170" fontId="7" fillId="0" borderId="0" xfId="0" applyNumberFormat="1" applyFont="1" applyFill="1"/>
    <xf numFmtId="0" fontId="7" fillId="0" borderId="0" xfId="0" applyFont="1" applyFill="1"/>
    <xf numFmtId="170" fontId="7" fillId="0" borderId="9" xfId="0" applyNumberFormat="1" applyFont="1" applyFill="1" applyBorder="1"/>
    <xf numFmtId="165" fontId="2" fillId="0" borderId="2" xfId="0" applyNumberFormat="1" applyFont="1" applyFill="1" applyBorder="1"/>
    <xf numFmtId="165" fontId="2" fillId="0" borderId="8" xfId="0" applyNumberFormat="1" applyFont="1" applyFill="1" applyBorder="1"/>
    <xf numFmtId="172" fontId="1" fillId="0" borderId="0" xfId="0" applyNumberFormat="1" applyFont="1" applyFill="1"/>
    <xf numFmtId="173" fontId="1" fillId="0" borderId="0" xfId="0" applyNumberFormat="1" applyFont="1" applyFill="1"/>
    <xf numFmtId="169" fontId="9" fillId="0" borderId="0" xfId="0" applyNumberFormat="1" applyFont="1" applyFill="1"/>
    <xf numFmtId="168" fontId="3" fillId="0" borderId="0" xfId="0" applyNumberFormat="1" applyFont="1" applyFill="1" applyBorder="1"/>
    <xf numFmtId="177" fontId="12" fillId="0" borderId="6" xfId="0" applyNumberFormat="1" applyFont="1" applyFill="1" applyBorder="1"/>
    <xf numFmtId="0" fontId="12" fillId="0" borderId="13" xfId="0" applyFont="1" applyFill="1" applyBorder="1"/>
    <xf numFmtId="168" fontId="9" fillId="0" borderId="9" xfId="0" applyNumberFormat="1" applyFont="1" applyFill="1" applyBorder="1"/>
    <xf numFmtId="177" fontId="12" fillId="0" borderId="0" xfId="0" applyNumberFormat="1" applyFont="1" applyFill="1"/>
    <xf numFmtId="0" fontId="12" fillId="0" borderId="9" xfId="0" applyFont="1" applyFill="1" applyBorder="1"/>
    <xf numFmtId="180" fontId="12" fillId="0" borderId="2" xfId="0" applyNumberFormat="1" applyFont="1" applyFill="1" applyBorder="1"/>
    <xf numFmtId="180" fontId="12" fillId="0" borderId="8" xfId="0" applyNumberFormat="1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168" fontId="9" fillId="0" borderId="17" xfId="0" applyNumberFormat="1" applyFont="1" applyFill="1" applyBorder="1"/>
    <xf numFmtId="168" fontId="1" fillId="0" borderId="17" xfId="0" applyNumberFormat="1" applyFont="1" applyFill="1" applyBorder="1"/>
    <xf numFmtId="168" fontId="2" fillId="0" borderId="6" xfId="0" applyNumberFormat="1" applyFont="1" applyFill="1" applyBorder="1"/>
    <xf numFmtId="168" fontId="2" fillId="0" borderId="18" xfId="0" applyNumberFormat="1" applyFont="1" applyFill="1" applyBorder="1"/>
    <xf numFmtId="167" fontId="2" fillId="0" borderId="0" xfId="0" applyNumberFormat="1" applyFont="1" applyFill="1" applyBorder="1"/>
    <xf numFmtId="167" fontId="2" fillId="0" borderId="17" xfId="0" applyNumberFormat="1" applyFont="1" applyFill="1" applyBorder="1"/>
    <xf numFmtId="165" fontId="2" fillId="0" borderId="18" xfId="0" applyNumberFormat="1" applyFont="1" applyFill="1" applyBorder="1"/>
    <xf numFmtId="179" fontId="1" fillId="0" borderId="0" xfId="0" applyNumberFormat="1" applyFont="1" applyFill="1" applyBorder="1"/>
    <xf numFmtId="179" fontId="1" fillId="0" borderId="17" xfId="0" applyNumberFormat="1" applyFont="1" applyFill="1" applyBorder="1"/>
    <xf numFmtId="169" fontId="3" fillId="0" borderId="0" xfId="0" applyNumberFormat="1" applyFont="1" applyFill="1" applyBorder="1"/>
    <xf numFmtId="169" fontId="3" fillId="0" borderId="17" xfId="0" applyNumberFormat="1" applyFont="1" applyFill="1" applyBorder="1"/>
    <xf numFmtId="179" fontId="2" fillId="0" borderId="6" xfId="0" applyNumberFormat="1" applyFont="1" applyFill="1" applyBorder="1"/>
    <xf numFmtId="179" fontId="2" fillId="0" borderId="18" xfId="0" applyNumberFormat="1" applyFont="1" applyFill="1" applyBorder="1"/>
    <xf numFmtId="179" fontId="2" fillId="0" borderId="0" xfId="0" applyNumberFormat="1" applyFont="1" applyFill="1" applyBorder="1"/>
    <xf numFmtId="179" fontId="2" fillId="0" borderId="17" xfId="0" applyNumberFormat="1" applyFont="1" applyFill="1" applyBorder="1"/>
    <xf numFmtId="181" fontId="1" fillId="0" borderId="0" xfId="0" applyNumberFormat="1" applyFont="1"/>
    <xf numFmtId="179" fontId="3" fillId="0" borderId="0" xfId="0" applyNumberFormat="1" applyFont="1" applyFill="1" applyBorder="1"/>
    <xf numFmtId="0" fontId="9" fillId="0" borderId="0" xfId="0" applyNumberFormat="1" applyFont="1" applyFill="1" applyAlignment="1">
      <alignment horizontal="right"/>
    </xf>
    <xf numFmtId="0" fontId="18" fillId="0" borderId="0" xfId="0" applyFont="1" applyBorder="1"/>
    <xf numFmtId="0" fontId="18" fillId="0" borderId="0" xfId="0" applyFont="1"/>
    <xf numFmtId="0" fontId="10" fillId="0" borderId="4" xfId="0" applyNumberFormat="1" applyFont="1" applyFill="1" applyBorder="1" applyAlignment="1"/>
    <xf numFmtId="165" fontId="10" fillId="0" borderId="4" xfId="0" applyNumberFormat="1" applyFont="1" applyFill="1" applyBorder="1" applyAlignment="1"/>
    <xf numFmtId="180" fontId="3" fillId="0" borderId="12" xfId="0" applyNumberFormat="1" applyFont="1" applyBorder="1" applyAlignment="1">
      <alignment horizontal="center"/>
    </xf>
    <xf numFmtId="167" fontId="1" fillId="0" borderId="0" xfId="0" applyNumberFormat="1" applyFont="1" applyFill="1"/>
    <xf numFmtId="0" fontId="1" fillId="0" borderId="2" xfId="0" applyFont="1" applyBorder="1" applyAlignment="1">
      <alignment horizontal="centerContinuous"/>
    </xf>
    <xf numFmtId="178" fontId="11" fillId="0" borderId="4" xfId="0" applyNumberFormat="1" applyFont="1" applyFill="1" applyBorder="1"/>
    <xf numFmtId="167" fontId="1" fillId="0" borderId="5" xfId="0" applyNumberFormat="1" applyFont="1" applyFill="1" applyBorder="1"/>
    <xf numFmtId="0" fontId="13" fillId="0" borderId="16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Continuous"/>
    </xf>
    <xf numFmtId="166" fontId="2" fillId="0" borderId="2" xfId="0" applyNumberFormat="1" applyFont="1" applyFill="1" applyBorder="1" applyAlignment="1">
      <alignment horizontal="centerContinuous"/>
    </xf>
    <xf numFmtId="165" fontId="2" fillId="2" borderId="0" xfId="0" applyNumberFormat="1" applyFont="1" applyFill="1"/>
    <xf numFmtId="165" fontId="2" fillId="2" borderId="9" xfId="0" applyNumberFormat="1" applyFont="1" applyFill="1" applyBorder="1"/>
    <xf numFmtId="170" fontId="7" fillId="2" borderId="0" xfId="0" applyNumberFormat="1" applyFont="1" applyFill="1"/>
    <xf numFmtId="170" fontId="7" fillId="2" borderId="9" xfId="0" applyNumberFormat="1" applyFont="1" applyFill="1" applyBorder="1"/>
    <xf numFmtId="165" fontId="1" fillId="2" borderId="0" xfId="0" applyNumberFormat="1" applyFont="1" applyFill="1"/>
    <xf numFmtId="165" fontId="1" fillId="2" borderId="6" xfId="0" applyNumberFormat="1" applyFont="1" applyFill="1" applyBorder="1"/>
    <xf numFmtId="168" fontId="1" fillId="2" borderId="0" xfId="0" applyNumberFormat="1" applyFont="1" applyFill="1"/>
    <xf numFmtId="165" fontId="10" fillId="2" borderId="4" xfId="0" applyNumberFormat="1" applyFont="1" applyFill="1" applyBorder="1"/>
    <xf numFmtId="165" fontId="10" fillId="2" borderId="5" xfId="0" applyNumberFormat="1" applyFont="1" applyFill="1" applyBorder="1"/>
    <xf numFmtId="165" fontId="2" fillId="2" borderId="2" xfId="0" applyNumberFormat="1" applyFont="1" applyFill="1" applyBorder="1"/>
    <xf numFmtId="165" fontId="2" fillId="2" borderId="8" xfId="0" applyNumberFormat="1" applyFont="1" applyFill="1" applyBorder="1"/>
    <xf numFmtId="168" fontId="1" fillId="2" borderId="2" xfId="0" applyNumberFormat="1" applyFont="1" applyFill="1" applyBorder="1"/>
    <xf numFmtId="165" fontId="2" fillId="2" borderId="0" xfId="0" applyNumberFormat="1" applyFont="1" applyFill="1" applyBorder="1"/>
    <xf numFmtId="169" fontId="9" fillId="2" borderId="0" xfId="0" applyNumberFormat="1" applyFont="1" applyFill="1"/>
    <xf numFmtId="0" fontId="9" fillId="2" borderId="0" xfId="0" applyNumberFormat="1" applyFont="1" applyFill="1" applyAlignment="1">
      <alignment horizontal="right"/>
    </xf>
    <xf numFmtId="165" fontId="1" fillId="2" borderId="0" xfId="0" applyNumberFormat="1" applyFont="1" applyFill="1" applyBorder="1"/>
    <xf numFmtId="168" fontId="9" fillId="2" borderId="2" xfId="0" applyNumberFormat="1" applyFont="1" applyFill="1" applyBorder="1" applyAlignment="1"/>
    <xf numFmtId="0" fontId="7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166" fontId="2" fillId="0" borderId="9" xfId="0" applyNumberFormat="1" applyFont="1" applyFill="1" applyBorder="1" applyAlignment="1">
      <alignment horizontal="center"/>
    </xf>
    <xf numFmtId="172" fontId="1" fillId="0" borderId="9" xfId="0" applyNumberFormat="1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2" fillId="0" borderId="8" xfId="0" applyFont="1" applyFill="1" applyBorder="1"/>
    <xf numFmtId="165" fontId="1" fillId="0" borderId="17" xfId="0" applyNumberFormat="1" applyFont="1" applyFill="1" applyBorder="1"/>
    <xf numFmtId="0" fontId="1" fillId="0" borderId="17" xfId="0" applyFont="1" applyFill="1" applyBorder="1"/>
    <xf numFmtId="0" fontId="0" fillId="0" borderId="0" xfId="0" applyFill="1"/>
    <xf numFmtId="169" fontId="1" fillId="0" borderId="0" xfId="0" applyNumberFormat="1" applyFont="1" applyFill="1" applyBorder="1"/>
    <xf numFmtId="181" fontId="1" fillId="0" borderId="0" xfId="0" applyNumberFormat="1" applyFont="1" applyFill="1"/>
    <xf numFmtId="0" fontId="19" fillId="0" borderId="0" xfId="0" applyFont="1"/>
    <xf numFmtId="0" fontId="9" fillId="0" borderId="0" xfId="0" applyNumberFormat="1" applyFont="1" applyFill="1" applyBorder="1" applyAlignment="1"/>
    <xf numFmtId="165" fontId="2" fillId="2" borderId="4" xfId="0" applyNumberFormat="1" applyFont="1" applyFill="1" applyBorder="1"/>
    <xf numFmtId="165" fontId="3" fillId="0" borderId="10" xfId="0" applyNumberFormat="1" applyFont="1" applyFill="1" applyBorder="1" applyAlignment="1">
      <alignment horizontal="centerContinuous"/>
    </xf>
    <xf numFmtId="168" fontId="1" fillId="2" borderId="0" xfId="0" applyNumberFormat="1" applyFont="1" applyFill="1" applyBorder="1"/>
    <xf numFmtId="177" fontId="1" fillId="2" borderId="2" xfId="0" applyNumberFormat="1" applyFont="1" applyFill="1" applyBorder="1"/>
    <xf numFmtId="167" fontId="9" fillId="2" borderId="0" xfId="0" applyNumberFormat="1" applyFont="1" applyFill="1" applyBorder="1"/>
    <xf numFmtId="179" fontId="10" fillId="2" borderId="4" xfId="0" applyNumberFormat="1" applyFont="1" applyFill="1" applyBorder="1"/>
    <xf numFmtId="165" fontId="1" fillId="2" borderId="17" xfId="0" applyNumberFormat="1" applyFont="1" applyFill="1" applyBorder="1"/>
    <xf numFmtId="168" fontId="9" fillId="2" borderId="0" xfId="0" applyNumberFormat="1" applyFont="1" applyFill="1"/>
    <xf numFmtId="168" fontId="9" fillId="2" borderId="17" xfId="0" applyNumberFormat="1" applyFont="1" applyFill="1" applyBorder="1"/>
    <xf numFmtId="168" fontId="1" fillId="2" borderId="17" xfId="0" applyNumberFormat="1" applyFont="1" applyFill="1" applyBorder="1"/>
    <xf numFmtId="168" fontId="2" fillId="2" borderId="6" xfId="0" applyNumberFormat="1" applyFont="1" applyFill="1" applyBorder="1"/>
    <xf numFmtId="168" fontId="2" fillId="2" borderId="18" xfId="0" applyNumberFormat="1" applyFont="1" applyFill="1" applyBorder="1"/>
    <xf numFmtId="165" fontId="2" fillId="2" borderId="6" xfId="0" applyNumberFormat="1" applyFont="1" applyFill="1" applyBorder="1"/>
    <xf numFmtId="169" fontId="1" fillId="2" borderId="0" xfId="0" applyNumberFormat="1" applyFont="1" applyFill="1" applyBorder="1"/>
    <xf numFmtId="179" fontId="2" fillId="2" borderId="6" xfId="0" applyNumberFormat="1" applyFont="1" applyFill="1" applyBorder="1"/>
    <xf numFmtId="168" fontId="2" fillId="2" borderId="0" xfId="0" applyNumberFormat="1" applyFont="1" applyFill="1" applyBorder="1"/>
    <xf numFmtId="168" fontId="9" fillId="2" borderId="0" xfId="0" applyNumberFormat="1" applyFont="1" applyFill="1" applyBorder="1"/>
    <xf numFmtId="165" fontId="1" fillId="2" borderId="2" xfId="0" applyNumberFormat="1" applyFont="1" applyFill="1" applyBorder="1"/>
    <xf numFmtId="168" fontId="9" fillId="2" borderId="2" xfId="0" applyNumberFormat="1" applyFont="1" applyFill="1" applyBorder="1"/>
    <xf numFmtId="177" fontId="12" fillId="2" borderId="2" xfId="0" applyNumberFormat="1" applyFont="1" applyFill="1" applyBorder="1"/>
    <xf numFmtId="178" fontId="11" fillId="2" borderId="0" xfId="0" applyNumberFormat="1" applyFont="1" applyFill="1" applyBorder="1"/>
    <xf numFmtId="178" fontId="11" fillId="2" borderId="0" xfId="0" applyNumberFormat="1" applyFont="1" applyFill="1"/>
    <xf numFmtId="178" fontId="11" fillId="2" borderId="4" xfId="0" applyNumberFormat="1" applyFont="1" applyFill="1" applyBorder="1"/>
    <xf numFmtId="177" fontId="9" fillId="2" borderId="0" xfId="0" applyNumberFormat="1" applyFont="1" applyFill="1" applyBorder="1"/>
    <xf numFmtId="177" fontId="9" fillId="2" borderId="0" xfId="0" applyNumberFormat="1" applyFont="1" applyFill="1"/>
    <xf numFmtId="177" fontId="9" fillId="2" borderId="2" xfId="0" applyNumberFormat="1" applyFont="1" applyFill="1" applyBorder="1"/>
    <xf numFmtId="170" fontId="9" fillId="0" borderId="2" xfId="0" applyNumberFormat="1" applyFont="1" applyFill="1" applyBorder="1"/>
    <xf numFmtId="170" fontId="9" fillId="0" borderId="8" xfId="0" applyNumberFormat="1" applyFont="1" applyFill="1" applyBorder="1"/>
    <xf numFmtId="170" fontId="9" fillId="2" borderId="0" xfId="0" applyNumberFormat="1" applyFont="1" applyFill="1"/>
    <xf numFmtId="170" fontId="9" fillId="2" borderId="9" xfId="0" applyNumberFormat="1" applyFont="1" applyFill="1" applyBorder="1"/>
    <xf numFmtId="170" fontId="9" fillId="2" borderId="2" xfId="0" applyNumberFormat="1" applyFont="1" applyFill="1" applyBorder="1"/>
    <xf numFmtId="170" fontId="9" fillId="2" borderId="8" xfId="0" applyNumberFormat="1" applyFont="1" applyFill="1" applyBorder="1"/>
    <xf numFmtId="0" fontId="19" fillId="0" borderId="0" xfId="0" applyFont="1" applyFill="1"/>
    <xf numFmtId="177" fontId="17" fillId="2" borderId="2" xfId="0" applyNumberFormat="1" applyFont="1" applyFill="1" applyBorder="1"/>
    <xf numFmtId="180" fontId="12" fillId="2" borderId="2" xfId="0" applyNumberFormat="1" applyFont="1" applyFill="1" applyBorder="1"/>
    <xf numFmtId="180" fontId="12" fillId="2" borderId="8" xfId="0" applyNumberFormat="1" applyFont="1" applyFill="1" applyBorder="1"/>
    <xf numFmtId="168" fontId="9" fillId="2" borderId="9" xfId="0" applyNumberFormat="1" applyFont="1" applyFill="1" applyBorder="1"/>
    <xf numFmtId="174" fontId="9" fillId="0" borderId="0" xfId="0" applyNumberFormat="1" applyFont="1" applyFill="1"/>
    <xf numFmtId="174" fontId="9" fillId="0" borderId="13" xfId="0" applyNumberFormat="1" applyFont="1" applyFill="1" applyBorder="1"/>
    <xf numFmtId="174" fontId="9" fillId="2" borderId="0" xfId="0" applyNumberFormat="1" applyFont="1" applyFill="1"/>
    <xf numFmtId="174" fontId="9" fillId="2" borderId="13" xfId="0" applyNumberFormat="1" applyFont="1" applyFill="1" applyBorder="1"/>
    <xf numFmtId="169" fontId="9" fillId="2" borderId="9" xfId="0" applyNumberFormat="1" applyFont="1" applyFill="1" applyBorder="1"/>
    <xf numFmtId="174" fontId="9" fillId="0" borderId="9" xfId="0" applyNumberFormat="1" applyFont="1" applyFill="1" applyBorder="1"/>
    <xf numFmtId="174" fontId="9" fillId="2" borderId="9" xfId="0" applyNumberFormat="1" applyFont="1" applyFill="1" applyBorder="1"/>
    <xf numFmtId="170" fontId="1" fillId="0" borderId="2" xfId="0" applyNumberFormat="1" applyFont="1" applyFill="1" applyBorder="1"/>
    <xf numFmtId="170" fontId="1" fillId="0" borderId="8" xfId="0" applyNumberFormat="1" applyFont="1" applyFill="1" applyBorder="1"/>
    <xf numFmtId="165" fontId="1" fillId="2" borderId="9" xfId="0" applyNumberFormat="1" applyFont="1" applyFill="1" applyBorder="1"/>
    <xf numFmtId="170" fontId="1" fillId="2" borderId="2" xfId="0" applyNumberFormat="1" applyFont="1" applyFill="1" applyBorder="1"/>
    <xf numFmtId="170" fontId="1" fillId="2" borderId="8" xfId="0" applyNumberFormat="1" applyFont="1" applyFill="1" applyBorder="1"/>
    <xf numFmtId="168" fontId="1" fillId="2" borderId="9" xfId="0" applyNumberFormat="1" applyFont="1" applyFill="1" applyBorder="1"/>
    <xf numFmtId="165" fontId="10" fillId="2" borderId="4" xfId="0" applyNumberFormat="1" applyFont="1" applyFill="1" applyBorder="1" applyAlignment="1"/>
    <xf numFmtId="168" fontId="3" fillId="2" borderId="0" xfId="0" applyNumberFormat="1" applyFont="1" applyFill="1" applyBorder="1"/>
    <xf numFmtId="168" fontId="3" fillId="2" borderId="0" xfId="0" applyNumberFormat="1" applyFont="1" applyFill="1"/>
    <xf numFmtId="165" fontId="9" fillId="2" borderId="6" xfId="0" applyNumberFormat="1" applyFont="1" applyFill="1" applyBorder="1"/>
    <xf numFmtId="165" fontId="10" fillId="2" borderId="6" xfId="0" applyNumberFormat="1" applyFont="1" applyFill="1" applyBorder="1"/>
    <xf numFmtId="168" fontId="9" fillId="2" borderId="6" xfId="0" applyNumberFormat="1" applyFont="1" applyFill="1" applyBorder="1"/>
    <xf numFmtId="168" fontId="9" fillId="2" borderId="13" xfId="0" applyNumberFormat="1" applyFont="1" applyFill="1" applyBorder="1"/>
    <xf numFmtId="165" fontId="10" fillId="2" borderId="13" xfId="0" applyNumberFormat="1" applyFont="1" applyFill="1" applyBorder="1"/>
    <xf numFmtId="179" fontId="10" fillId="2" borderId="5" xfId="0" applyNumberFormat="1" applyFont="1" applyFill="1" applyBorder="1"/>
    <xf numFmtId="170" fontId="1" fillId="2" borderId="0" xfId="0" applyNumberFormat="1" applyFont="1" applyFill="1"/>
    <xf numFmtId="170" fontId="1" fillId="2" borderId="9" xfId="0" applyNumberFormat="1" applyFont="1" applyFill="1" applyBorder="1"/>
    <xf numFmtId="170" fontId="1" fillId="2" borderId="0" xfId="0" applyNumberFormat="1" applyFont="1" applyFill="1" applyBorder="1"/>
    <xf numFmtId="165" fontId="2" fillId="2" borderId="13" xfId="0" applyNumberFormat="1" applyFont="1" applyFill="1" applyBorder="1"/>
    <xf numFmtId="165" fontId="2" fillId="2" borderId="5" xfId="0" applyNumberFormat="1" applyFont="1" applyFill="1" applyBorder="1"/>
    <xf numFmtId="0" fontId="11" fillId="0" borderId="20" xfId="0" applyFont="1" applyBorder="1"/>
    <xf numFmtId="0" fontId="12" fillId="0" borderId="20" xfId="0" applyFont="1" applyBorder="1"/>
    <xf numFmtId="182" fontId="21" fillId="0" borderId="0" xfId="0" applyNumberFormat="1" applyFont="1"/>
    <xf numFmtId="182" fontId="21" fillId="0" borderId="20" xfId="0" applyNumberFormat="1" applyFont="1" applyBorder="1"/>
    <xf numFmtId="182" fontId="22" fillId="2" borderId="20" xfId="0" applyNumberFormat="1" applyFont="1" applyFill="1" applyBorder="1"/>
    <xf numFmtId="0" fontId="12" fillId="0" borderId="0" xfId="0" applyFont="1" applyBorder="1"/>
    <xf numFmtId="182" fontId="22" fillId="0" borderId="20" xfId="0" applyNumberFormat="1" applyFont="1" applyFill="1" applyBorder="1"/>
    <xf numFmtId="170" fontId="3" fillId="4" borderId="0" xfId="0" applyNumberFormat="1" applyFont="1" applyFill="1" applyBorder="1"/>
    <xf numFmtId="170" fontId="3" fillId="4" borderId="0" xfId="0" applyNumberFormat="1" applyFont="1" applyFill="1"/>
    <xf numFmtId="170" fontId="9" fillId="0" borderId="0" xfId="0" applyNumberFormat="1" applyFont="1" applyBorder="1"/>
    <xf numFmtId="0" fontId="23" fillId="0" borderId="0" xfId="0" applyFont="1"/>
    <xf numFmtId="0" fontId="11" fillId="0" borderId="0" xfId="0" applyFont="1" applyAlignment="1">
      <alignment horizontal="centerContinuous"/>
    </xf>
    <xf numFmtId="0" fontId="12" fillId="0" borderId="0" xfId="0" quotePrefix="1" applyFont="1"/>
    <xf numFmtId="176" fontId="12" fillId="2" borderId="0" xfId="0" applyNumberFormat="1" applyFont="1" applyFill="1"/>
    <xf numFmtId="170" fontId="10" fillId="2" borderId="6" xfId="0" applyNumberFormat="1" applyFont="1" applyFill="1" applyBorder="1" applyAlignment="1">
      <alignment horizontal="center"/>
    </xf>
    <xf numFmtId="170" fontId="13" fillId="2" borderId="6" xfId="0" applyNumberFormat="1" applyFont="1" applyFill="1" applyBorder="1" applyAlignment="1">
      <alignment horizontal="center"/>
    </xf>
    <xf numFmtId="170" fontId="10" fillId="2" borderId="4" xfId="0" applyNumberFormat="1" applyFont="1" applyFill="1" applyBorder="1" applyAlignment="1">
      <alignment horizontal="center"/>
    </xf>
    <xf numFmtId="182" fontId="10" fillId="2" borderId="0" xfId="0" applyNumberFormat="1" applyFont="1" applyFill="1"/>
    <xf numFmtId="183" fontId="12" fillId="2" borderId="21" xfId="0" applyNumberFormat="1" applyFont="1" applyFill="1" applyBorder="1" applyAlignment="1">
      <alignment horizontal="center"/>
    </xf>
    <xf numFmtId="183" fontId="12" fillId="2" borderId="19" xfId="0" applyNumberFormat="1" applyFont="1" applyFill="1" applyBorder="1" applyAlignment="1">
      <alignment horizontal="center"/>
    </xf>
    <xf numFmtId="183" fontId="12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83" fontId="12" fillId="2" borderId="22" xfId="0" applyNumberFormat="1" applyFont="1" applyFill="1" applyBorder="1" applyAlignment="1">
      <alignment horizontal="center"/>
    </xf>
    <xf numFmtId="182" fontId="13" fillId="2" borderId="0" xfId="0" applyNumberFormat="1" applyFont="1" applyFill="1"/>
    <xf numFmtId="176" fontId="24" fillId="0" borderId="0" xfId="0" applyNumberFormat="1" applyFont="1" applyFill="1"/>
    <xf numFmtId="0" fontId="1" fillId="5" borderId="10" xfId="0" applyFont="1" applyFill="1" applyBorder="1"/>
    <xf numFmtId="0" fontId="3" fillId="5" borderId="10" xfId="0" applyFont="1" applyFill="1" applyBorder="1"/>
    <xf numFmtId="170" fontId="12" fillId="2" borderId="2" xfId="0" applyNumberFormat="1" applyFont="1" applyFill="1" applyBorder="1"/>
    <xf numFmtId="170" fontId="12" fillId="2" borderId="8" xfId="0" applyNumberFormat="1" applyFont="1" applyFill="1" applyBorder="1"/>
    <xf numFmtId="170" fontId="10" fillId="0" borderId="6" xfId="0" applyNumberFormat="1" applyFont="1" applyBorder="1" applyAlignment="1">
      <alignment horizontal="center"/>
    </xf>
    <xf numFmtId="170" fontId="13" fillId="0" borderId="6" xfId="0" applyNumberFormat="1" applyFont="1" applyBorder="1" applyAlignment="1">
      <alignment horizontal="center"/>
    </xf>
    <xf numFmtId="170" fontId="10" fillId="0" borderId="4" xfId="0" applyNumberFormat="1" applyFont="1" applyBorder="1" applyAlignment="1">
      <alignment horizontal="center"/>
    </xf>
    <xf numFmtId="182" fontId="10" fillId="0" borderId="0" xfId="0" applyNumberFormat="1" applyFont="1"/>
    <xf numFmtId="182" fontId="13" fillId="0" borderId="0" xfId="0" applyNumberFormat="1" applyFont="1"/>
    <xf numFmtId="183" fontId="12" fillId="0" borderId="21" xfId="0" applyNumberFormat="1" applyFont="1" applyFill="1" applyBorder="1" applyAlignment="1">
      <alignment horizontal="center"/>
    </xf>
    <xf numFmtId="183" fontId="12" fillId="0" borderId="19" xfId="0" applyNumberFormat="1" applyFont="1" applyFill="1" applyBorder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2" fillId="0" borderId="22" xfId="0" applyNumberFormat="1" applyFont="1" applyFill="1" applyBorder="1" applyAlignment="1">
      <alignment horizontal="center"/>
    </xf>
    <xf numFmtId="177" fontId="1" fillId="2" borderId="0" xfId="0" applyNumberFormat="1" applyFont="1" applyFill="1"/>
    <xf numFmtId="0" fontId="1" fillId="7" borderId="0" xfId="0" applyFont="1" applyFill="1"/>
    <xf numFmtId="168" fontId="3" fillId="7" borderId="0" xfId="0" applyNumberFormat="1" applyFont="1" applyFill="1"/>
    <xf numFmtId="168" fontId="3" fillId="7" borderId="9" xfId="0" applyNumberFormat="1" applyFont="1" applyFill="1" applyBorder="1"/>
    <xf numFmtId="168" fontId="1" fillId="7" borderId="0" xfId="0" applyNumberFormat="1" applyFont="1" applyFill="1" applyBorder="1"/>
    <xf numFmtId="170" fontId="1" fillId="7" borderId="0" xfId="0" applyNumberFormat="1" applyFont="1" applyFill="1"/>
    <xf numFmtId="170" fontId="1" fillId="7" borderId="9" xfId="0" applyNumberFormat="1" applyFont="1" applyFill="1" applyBorder="1"/>
    <xf numFmtId="170" fontId="3" fillId="7" borderId="0" xfId="0" applyNumberFormat="1" applyFont="1" applyFill="1" applyBorder="1"/>
    <xf numFmtId="170" fontId="3" fillId="7" borderId="0" xfId="0" applyNumberFormat="1" applyFont="1" applyFill="1"/>
    <xf numFmtId="168" fontId="3" fillId="7" borderId="0" xfId="0" applyNumberFormat="1" applyFont="1" applyFill="1" applyBorder="1"/>
    <xf numFmtId="0" fontId="1" fillId="7" borderId="6" xfId="0" applyFont="1" applyFill="1" applyBorder="1"/>
    <xf numFmtId="168" fontId="3" fillId="7" borderId="6" xfId="0" applyNumberFormat="1" applyFont="1" applyFill="1" applyBorder="1"/>
    <xf numFmtId="168" fontId="3" fillId="7" borderId="13" xfId="0" applyNumberFormat="1" applyFont="1" applyFill="1" applyBorder="1"/>
    <xf numFmtId="168" fontId="1" fillId="7" borderId="6" xfId="0" applyNumberFormat="1" applyFont="1" applyFill="1" applyBorder="1"/>
    <xf numFmtId="0" fontId="1" fillId="7" borderId="2" xfId="0" applyFont="1" applyFill="1" applyBorder="1"/>
    <xf numFmtId="170" fontId="1" fillId="7" borderId="2" xfId="0" applyNumberFormat="1" applyFont="1" applyFill="1" applyBorder="1"/>
    <xf numFmtId="170" fontId="1" fillId="7" borderId="8" xfId="0" applyNumberFormat="1" applyFont="1" applyFill="1" applyBorder="1"/>
    <xf numFmtId="0" fontId="1" fillId="7" borderId="14" xfId="0" applyFont="1" applyFill="1" applyBorder="1"/>
    <xf numFmtId="0" fontId="1" fillId="7" borderId="15" xfId="0" applyFont="1" applyFill="1" applyBorder="1" applyAlignment="1">
      <alignment horizontal="left" indent="1"/>
    </xf>
    <xf numFmtId="0" fontId="1" fillId="7" borderId="15" xfId="0" applyFont="1" applyFill="1" applyBorder="1"/>
    <xf numFmtId="0" fontId="1" fillId="7" borderId="15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left" indent="1"/>
    </xf>
    <xf numFmtId="168" fontId="1" fillId="7" borderId="13" xfId="0" applyNumberFormat="1" applyFont="1" applyFill="1" applyBorder="1"/>
    <xf numFmtId="170" fontId="3" fillId="7" borderId="9" xfId="0" applyNumberFormat="1" applyFont="1" applyFill="1" applyBorder="1"/>
    <xf numFmtId="168" fontId="1" fillId="7" borderId="9" xfId="0" applyNumberFormat="1" applyFont="1" applyFill="1" applyBorder="1"/>
    <xf numFmtId="165" fontId="1" fillId="6" borderId="0" xfId="0" applyNumberFormat="1" applyFont="1" applyFill="1"/>
    <xf numFmtId="165" fontId="3" fillId="6" borderId="6" xfId="0" applyNumberFormat="1" applyFont="1" applyFill="1" applyBorder="1"/>
    <xf numFmtId="165" fontId="3" fillId="6" borderId="0" xfId="0" applyNumberFormat="1" applyFont="1" applyFill="1"/>
    <xf numFmtId="171" fontId="2" fillId="0" borderId="0" xfId="0" applyNumberFormat="1" applyFont="1" applyBorder="1" applyAlignment="1">
      <alignment horizontal="centerContinuous"/>
    </xf>
    <xf numFmtId="0" fontId="27" fillId="0" borderId="0" xfId="0" applyFont="1"/>
    <xf numFmtId="0" fontId="2" fillId="6" borderId="14" xfId="0" applyFont="1" applyFill="1" applyBorder="1"/>
    <xf numFmtId="0" fontId="2" fillId="6" borderId="6" xfId="0" applyFont="1" applyFill="1" applyBorder="1"/>
    <xf numFmtId="168" fontId="10" fillId="6" borderId="6" xfId="0" applyNumberFormat="1" applyFont="1" applyFill="1" applyBorder="1"/>
    <xf numFmtId="168" fontId="10" fillId="6" borderId="13" xfId="0" applyNumberFormat="1" applyFont="1" applyFill="1" applyBorder="1"/>
    <xf numFmtId="168" fontId="2" fillId="6" borderId="6" xfId="0" applyNumberFormat="1" applyFont="1" applyFill="1" applyBorder="1"/>
    <xf numFmtId="168" fontId="2" fillId="6" borderId="13" xfId="0" applyNumberFormat="1" applyFont="1" applyFill="1" applyBorder="1"/>
    <xf numFmtId="0" fontId="28" fillId="6" borderId="7" xfId="0" applyFont="1" applyFill="1" applyBorder="1"/>
    <xf numFmtId="0" fontId="28" fillId="6" borderId="2" xfId="0" applyFont="1" applyFill="1" applyBorder="1"/>
    <xf numFmtId="170" fontId="28" fillId="6" borderId="2" xfId="0" applyNumberFormat="1" applyFont="1" applyFill="1" applyBorder="1"/>
    <xf numFmtId="170" fontId="28" fillId="6" borderId="8" xfId="0" applyNumberFormat="1" applyFont="1" applyFill="1" applyBorder="1"/>
    <xf numFmtId="0" fontId="29" fillId="0" borderId="0" xfId="0" applyFont="1"/>
    <xf numFmtId="0" fontId="1" fillId="8" borderId="0" xfId="0" applyFont="1" applyFill="1"/>
    <xf numFmtId="168" fontId="2" fillId="2" borderId="13" xfId="0" applyNumberFormat="1" applyFont="1" applyFill="1" applyBorder="1"/>
    <xf numFmtId="170" fontId="28" fillId="2" borderId="2" xfId="0" applyNumberFormat="1" applyFont="1" applyFill="1" applyBorder="1"/>
    <xf numFmtId="170" fontId="28" fillId="2" borderId="8" xfId="0" applyNumberFormat="1" applyFont="1" applyFill="1" applyBorder="1"/>
    <xf numFmtId="165" fontId="3" fillId="2" borderId="6" xfId="0" applyNumberFormat="1" applyFont="1" applyFill="1" applyBorder="1"/>
    <xf numFmtId="165" fontId="3" fillId="2" borderId="0" xfId="0" applyNumberFormat="1" applyFont="1" applyFill="1"/>
    <xf numFmtId="0" fontId="11" fillId="2" borderId="20" xfId="0" applyFont="1" applyFill="1" applyBorder="1"/>
    <xf numFmtId="165" fontId="2" fillId="0" borderId="17" xfId="0" applyNumberFormat="1" applyFont="1" applyFill="1" applyBorder="1"/>
  </cellXfs>
  <cellStyles count="1">
    <cellStyle name="Normal" xfId="0" builtinId="0"/>
  </cellStyles>
  <dxfs count="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1781B-C506-4313-A54C-CA172CFC7410}">
  <dimension ref="A2:X323"/>
  <sheetViews>
    <sheetView showGridLines="0" tabSelected="1" topLeftCell="A54" zoomScaleNormal="100" zoomScaleSheetLayoutView="85" workbookViewId="0">
      <selection activeCell="L73" sqref="L73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s="143" customFormat="1" ht="12.95" customHeight="1" x14ac:dyDescent="0.2">
      <c r="A64" s="1"/>
      <c r="B64" s="1" t="s">
        <v>14</v>
      </c>
      <c r="C64" s="1"/>
      <c r="D64" s="1"/>
      <c r="E64" s="1"/>
      <c r="F64" s="1"/>
      <c r="G64" s="1"/>
      <c r="H64" s="49">
        <v>1209.9228781500001</v>
      </c>
      <c r="I64" s="49">
        <v>1288.5678652297499</v>
      </c>
      <c r="J64" s="50">
        <v>1378.7676157958326</v>
      </c>
      <c r="K64" s="195"/>
      <c r="L64" s="195"/>
      <c r="M64" s="195"/>
      <c r="N64" s="195"/>
      <c r="O64" s="195"/>
    </row>
    <row r="65" spans="1:17" s="143" customFormat="1" ht="12.95" customHeight="1" x14ac:dyDescent="0.2">
      <c r="A65" s="1"/>
      <c r="B65" s="387" t="s">
        <v>32</v>
      </c>
      <c r="C65" s="387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/>
      <c r="L65" s="153"/>
      <c r="M65" s="153"/>
      <c r="N65" s="153"/>
      <c r="O65" s="153"/>
    </row>
    <row r="66" spans="1:17" s="143" customFormat="1" ht="12.95" customHeight="1" x14ac:dyDescent="0.2">
      <c r="A66" s="1"/>
      <c r="B66" s="1" t="s">
        <v>33</v>
      </c>
      <c r="C66" s="1"/>
      <c r="D66" s="1"/>
      <c r="E66" s="1"/>
      <c r="F66" s="1"/>
      <c r="G66" s="1"/>
      <c r="H66" s="353"/>
      <c r="I66" s="353"/>
      <c r="J66" s="354"/>
      <c r="K66" s="314"/>
      <c r="L66" s="305"/>
      <c r="M66" s="305"/>
      <c r="N66" s="305"/>
      <c r="O66" s="305"/>
      <c r="Q66" s="143" t="s">
        <v>248</v>
      </c>
    </row>
    <row r="67" spans="1:17" s="143" customFormat="1" ht="12.95" customHeight="1" x14ac:dyDescent="0.2">
      <c r="A67" s="1"/>
      <c r="B67" s="387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/>
      <c r="L67" s="135"/>
      <c r="M67" s="135"/>
      <c r="N67" s="135"/>
      <c r="O67" s="135"/>
    </row>
    <row r="68" spans="1:17" s="143" customFormat="1" ht="12.95" customHeight="1" x14ac:dyDescent="0.2">
      <c r="A68" s="1"/>
      <c r="B68" s="21" t="s">
        <v>35</v>
      </c>
      <c r="C68" s="21"/>
      <c r="D68" s="21"/>
      <c r="E68" s="21"/>
      <c r="F68" s="21"/>
      <c r="G68" s="21"/>
      <c r="H68" s="352"/>
      <c r="I68" s="352"/>
      <c r="J68" s="355"/>
      <c r="K68" s="352"/>
      <c r="L68" s="352"/>
      <c r="M68" s="352"/>
      <c r="N68" s="352"/>
      <c r="O68" s="352"/>
      <c r="Q68" s="143" t="s">
        <v>249</v>
      </c>
    </row>
    <row r="69" spans="1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</row>
    <row r="70" spans="1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</row>
    <row r="71" spans="1:17" ht="12.95" customHeight="1" x14ac:dyDescent="0.2">
      <c r="B71" s="1" t="s">
        <v>37</v>
      </c>
      <c r="H71" s="353"/>
      <c r="I71" s="353"/>
      <c r="J71" s="354"/>
      <c r="K71" s="314"/>
      <c r="L71" s="314"/>
      <c r="M71" s="314"/>
      <c r="N71" s="314"/>
      <c r="O71" s="314"/>
      <c r="Q71" s="1" t="s">
        <v>250</v>
      </c>
    </row>
    <row r="72" spans="1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/>
      <c r="L72" s="135"/>
      <c r="M72" s="135"/>
      <c r="N72" s="135"/>
      <c r="O72" s="135"/>
      <c r="P72" s="143"/>
      <c r="Q72" s="143"/>
    </row>
    <row r="73" spans="1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352"/>
      <c r="I73" s="352"/>
      <c r="J73" s="355"/>
      <c r="K73" s="273"/>
      <c r="L73" s="273"/>
      <c r="M73" s="273"/>
      <c r="N73" s="273"/>
      <c r="O73" s="273"/>
      <c r="Q73" s="93" t="s">
        <v>251</v>
      </c>
    </row>
    <row r="74" spans="1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1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1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303"/>
      <c r="I76" s="303"/>
      <c r="J76" s="356"/>
      <c r="K76" s="200"/>
      <c r="L76" s="200"/>
      <c r="M76" s="200"/>
      <c r="N76" s="200"/>
      <c r="O76" s="200"/>
      <c r="Q76" s="143" t="s">
        <v>260</v>
      </c>
    </row>
    <row r="77" spans="1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1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1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303"/>
      <c r="I79" s="303"/>
      <c r="J79" s="356"/>
      <c r="K79" s="200"/>
      <c r="L79" s="200"/>
      <c r="M79" s="200"/>
      <c r="N79" s="200"/>
      <c r="O79" s="200"/>
      <c r="Q79" s="143" t="s">
        <v>259</v>
      </c>
    </row>
    <row r="80" spans="1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353"/>
      <c r="I82" s="353"/>
      <c r="J82" s="354"/>
      <c r="K82" s="353"/>
      <c r="L82" s="353"/>
      <c r="M82" s="353"/>
      <c r="N82" s="353"/>
      <c r="O82" s="353"/>
      <c r="Q82" s="1" t="s">
        <v>252</v>
      </c>
    </row>
    <row r="83" spans="2:17" ht="12.95" customHeight="1" x14ac:dyDescent="0.25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/>
      <c r="L83" s="134"/>
      <c r="M83" s="134"/>
      <c r="N83" s="134"/>
      <c r="O83" s="134"/>
      <c r="P83" s="143"/>
      <c r="Q83" s="330"/>
    </row>
    <row r="84" spans="2:17" ht="12.95" customHeight="1" x14ac:dyDescent="0.2">
      <c r="B84" s="1" t="s">
        <v>19</v>
      </c>
      <c r="H84" s="353"/>
      <c r="I84" s="353"/>
      <c r="J84" s="354"/>
      <c r="K84" s="353"/>
      <c r="L84" s="353"/>
      <c r="M84" s="353"/>
      <c r="N84" s="353"/>
      <c r="O84" s="353"/>
      <c r="Q84" s="1" t="s">
        <v>253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/>
      <c r="L85" s="132"/>
      <c r="M85" s="132"/>
      <c r="N85" s="132"/>
      <c r="O85" s="132"/>
      <c r="P85" s="143"/>
      <c r="Q85" s="143"/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273"/>
      <c r="I86" s="273"/>
      <c r="J86" s="274"/>
      <c r="K86" s="273"/>
      <c r="L86" s="273"/>
      <c r="M86" s="273"/>
      <c r="N86" s="273"/>
      <c r="O86" s="273"/>
      <c r="Q86" s="93" t="s">
        <v>254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326"/>
      <c r="J89" s="327"/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  <c r="Q89" s="1" t="s">
        <v>255</v>
      </c>
    </row>
    <row r="90" spans="2:17" ht="12.95" customHeight="1" x14ac:dyDescent="0.2">
      <c r="B90" s="1" t="s">
        <v>45</v>
      </c>
      <c r="H90" s="326"/>
      <c r="I90" s="326"/>
      <c r="J90" s="327"/>
      <c r="K90" s="113">
        <v>0.44400000000000001</v>
      </c>
      <c r="L90" s="22">
        <v>0.44600000000000001</v>
      </c>
      <c r="M90" s="22">
        <v>0.44800000000000001</v>
      </c>
      <c r="N90" s="22">
        <v>0.45</v>
      </c>
      <c r="O90" s="22">
        <v>0.45200000000000001</v>
      </c>
      <c r="Q90" s="1" t="s">
        <v>256</v>
      </c>
    </row>
    <row r="91" spans="2:17" ht="12.95" customHeight="1" x14ac:dyDescent="0.2">
      <c r="B91" s="1" t="s">
        <v>46</v>
      </c>
      <c r="H91" s="326"/>
      <c r="I91" s="326"/>
      <c r="J91" s="327"/>
      <c r="K91" s="113">
        <v>0.27300000000000002</v>
      </c>
      <c r="L91" s="22">
        <v>0.27150000000000002</v>
      </c>
      <c r="M91" s="22">
        <v>0.27</v>
      </c>
      <c r="N91" s="22">
        <v>0.26850000000000002</v>
      </c>
      <c r="O91" s="22">
        <v>0.26700000000000002</v>
      </c>
      <c r="Q91" s="1" t="s">
        <v>257</v>
      </c>
    </row>
    <row r="92" spans="2:17" ht="12.95" customHeight="1" x14ac:dyDescent="0.2">
      <c r="B92" s="1" t="s">
        <v>47</v>
      </c>
      <c r="H92" s="357"/>
      <c r="I92" s="357"/>
      <c r="J92" s="358"/>
      <c r="K92" s="359"/>
      <c r="L92" s="357"/>
      <c r="M92" s="357"/>
      <c r="N92" s="357"/>
      <c r="O92" s="357"/>
      <c r="Q92" s="1" t="s">
        <v>335</v>
      </c>
    </row>
    <row r="93" spans="2:17" ht="12.95" customHeight="1" x14ac:dyDescent="0.2">
      <c r="B93" s="1" t="s">
        <v>152</v>
      </c>
      <c r="I93" s="357"/>
      <c r="J93" s="358"/>
      <c r="K93" s="359"/>
      <c r="L93" s="357"/>
      <c r="M93" s="357"/>
      <c r="N93" s="357"/>
      <c r="O93" s="357"/>
      <c r="Q93" s="1" t="s">
        <v>258</v>
      </c>
    </row>
    <row r="94" spans="2:17" ht="12.95" customHeight="1" x14ac:dyDescent="0.2">
      <c r="B94" s="1" t="s">
        <v>136</v>
      </c>
      <c r="I94" s="357"/>
      <c r="J94" s="358"/>
      <c r="K94" s="359"/>
      <c r="L94" s="357"/>
      <c r="M94" s="357"/>
      <c r="N94" s="357"/>
      <c r="O94" s="357"/>
      <c r="Q94" s="1" t="s">
        <v>261</v>
      </c>
    </row>
    <row r="95" spans="2:17" ht="12.95" customHeight="1" x14ac:dyDescent="0.2">
      <c r="B95" s="1" t="s">
        <v>137</v>
      </c>
      <c r="I95" s="357"/>
      <c r="J95" s="358"/>
      <c r="K95" s="359"/>
      <c r="L95" s="357"/>
      <c r="M95" s="357"/>
      <c r="N95" s="357"/>
      <c r="O95" s="357"/>
      <c r="Q95" s="1" t="s">
        <v>262</v>
      </c>
    </row>
    <row r="96" spans="2:17" ht="12.95" customHeight="1" x14ac:dyDescent="0.2">
      <c r="B96" s="1" t="s">
        <v>48</v>
      </c>
      <c r="H96" s="326"/>
      <c r="I96" s="326"/>
      <c r="J96" s="327"/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  <c r="Q96" s="1" t="s">
        <v>263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328"/>
      <c r="I97" s="328"/>
      <c r="J97" s="346"/>
      <c r="K97" s="345"/>
      <c r="L97" s="345"/>
      <c r="M97" s="345"/>
      <c r="N97" s="345"/>
      <c r="O97" s="345"/>
      <c r="Q97" s="1" t="s">
        <v>264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/>
      <c r="L104" s="135"/>
      <c r="M104" s="135"/>
      <c r="N104" s="135"/>
      <c r="O104" s="135"/>
      <c r="P104" s="143"/>
      <c r="Q104" s="259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/>
      <c r="L105" s="137"/>
      <c r="M105" s="137"/>
      <c r="N105" s="137"/>
      <c r="O105" s="137"/>
      <c r="P105" s="143"/>
      <c r="Q105" s="259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/>
      <c r="L106" s="140"/>
      <c r="M106" s="140"/>
      <c r="N106" s="140"/>
      <c r="O106" s="140"/>
      <c r="P106" s="143"/>
      <c r="Q106" s="259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/>
      <c r="I107" s="147"/>
      <c r="J107" s="123"/>
      <c r="K107" s="154"/>
      <c r="L107" s="147"/>
      <c r="M107" s="147"/>
      <c r="N107" s="147"/>
      <c r="O107" s="147"/>
      <c r="P107" s="175"/>
      <c r="Q107" s="1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P108" s="143"/>
      <c r="Q108" s="259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5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/>
      <c r="L109" s="136"/>
      <c r="M109" s="136"/>
      <c r="N109" s="136"/>
      <c r="O109" s="136"/>
      <c r="P109" s="143"/>
      <c r="Q109" s="330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/>
      <c r="L110" s="136"/>
      <c r="M110" s="136"/>
      <c r="N110" s="136"/>
      <c r="O110" s="136"/>
      <c r="P110" s="143"/>
      <c r="Q110" s="259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/>
      <c r="L111" s="137"/>
      <c r="M111" s="137"/>
      <c r="N111" s="137"/>
      <c r="O111" s="137"/>
      <c r="P111" s="143"/>
      <c r="Q111" s="259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/>
      <c r="I112" s="145"/>
      <c r="J112" s="146"/>
      <c r="K112" s="145"/>
      <c r="L112" s="145"/>
      <c r="M112" s="145"/>
      <c r="N112" s="145"/>
      <c r="O112" s="145"/>
      <c r="P112" s="144"/>
      <c r="Q112" s="152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P113" s="143"/>
      <c r="Q113" s="259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/>
      <c r="L114" s="137"/>
      <c r="M114" s="137"/>
      <c r="N114" s="137"/>
      <c r="O114" s="137"/>
      <c r="P114" s="143"/>
      <c r="Q114" s="259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/>
      <c r="L115" s="137"/>
      <c r="M115" s="137"/>
      <c r="N115" s="137"/>
      <c r="O115" s="137"/>
      <c r="P115" s="143"/>
      <c r="Q115" s="259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/>
      <c r="L116" s="140"/>
      <c r="M116" s="140"/>
      <c r="N116" s="140"/>
      <c r="O116" s="140"/>
      <c r="P116" s="143"/>
      <c r="Q116" s="259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/>
      <c r="I117" s="147"/>
      <c r="J117" s="148"/>
      <c r="K117" s="149"/>
      <c r="L117" s="147"/>
      <c r="M117" s="147"/>
      <c r="N117" s="147"/>
      <c r="O117" s="147"/>
      <c r="P117" s="143"/>
      <c r="Q117" s="259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/>
      <c r="L119" s="137"/>
      <c r="M119" s="137"/>
      <c r="N119" s="137"/>
      <c r="O119" s="137"/>
      <c r="P119" s="143"/>
      <c r="Q119" s="259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/>
      <c r="I123" s="154"/>
      <c r="J123" s="123"/>
      <c r="K123" s="154"/>
      <c r="L123" s="154"/>
      <c r="M123" s="154"/>
      <c r="N123" s="154"/>
      <c r="O123" s="154"/>
      <c r="P123" s="175"/>
      <c r="Q123" s="259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P124" s="143"/>
      <c r="Q124" s="259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P127" s="143"/>
      <c r="Q127" s="259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/>
      <c r="I128" s="155"/>
      <c r="J128" s="156"/>
      <c r="K128" s="155"/>
      <c r="L128" s="155"/>
      <c r="M128" s="155"/>
      <c r="N128" s="155"/>
      <c r="O128" s="155"/>
      <c r="P128" s="235"/>
      <c r="Q128" s="152"/>
      <c r="R128" s="119"/>
      <c r="S128" s="119"/>
      <c r="T128" s="119"/>
      <c r="U128" s="119"/>
      <c r="V128" s="119"/>
      <c r="W128" s="119"/>
      <c r="X128" s="119"/>
    </row>
    <row r="129" spans="2:17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  <c r="P129" s="143"/>
      <c r="Q129" s="143"/>
    </row>
    <row r="130" spans="2:17" ht="12.95" customHeight="1" outlineLevel="1" x14ac:dyDescent="0.2">
      <c r="B130" s="1" t="s">
        <v>65</v>
      </c>
      <c r="H130" s="137"/>
      <c r="I130" s="137"/>
      <c r="J130" s="157"/>
      <c r="K130" s="136"/>
      <c r="L130" s="137"/>
      <c r="M130" s="137"/>
      <c r="N130" s="137"/>
      <c r="O130" s="137"/>
      <c r="P130" s="143"/>
      <c r="Q130" s="152"/>
    </row>
    <row r="131" spans="2:17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7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7" ht="12.95" customHeight="1" outlineLevel="1" x14ac:dyDescent="0.2">
      <c r="B133" s="1" t="str">
        <f>+B64</f>
        <v>Revenue</v>
      </c>
      <c r="H133" s="137">
        <f t="shared" ref="H133:O133" si="0">+H64</f>
        <v>1209.9228781500001</v>
      </c>
      <c r="I133" s="137">
        <f t="shared" si="0"/>
        <v>1288.5678652297499</v>
      </c>
      <c r="J133" s="157">
        <f t="shared" si="0"/>
        <v>1378.7676157958326</v>
      </c>
      <c r="K133" s="136">
        <f t="shared" si="0"/>
        <v>0</v>
      </c>
      <c r="L133" s="137">
        <f t="shared" si="0"/>
        <v>0</v>
      </c>
      <c r="M133" s="137">
        <f t="shared" si="0"/>
        <v>0</v>
      </c>
      <c r="N133" s="137">
        <f t="shared" si="0"/>
        <v>0</v>
      </c>
      <c r="O133" s="137">
        <f t="shared" si="0"/>
        <v>0</v>
      </c>
    </row>
    <row r="134" spans="2:17" ht="12.95" customHeight="1" outlineLevel="1" x14ac:dyDescent="0.2">
      <c r="B134" s="1" t="str">
        <f>+B65</f>
        <v>Cost of Goods Sold (Cost of Sales)</v>
      </c>
      <c r="H134" s="137">
        <f t="shared" ref="H134:O134" si="1">-H65</f>
        <v>679.97665752030014</v>
      </c>
      <c r="I134" s="137">
        <f t="shared" si="1"/>
        <v>721.59800452866</v>
      </c>
      <c r="J134" s="157">
        <f t="shared" si="1"/>
        <v>769.35232961407462</v>
      </c>
      <c r="K134" s="136">
        <f t="shared" si="1"/>
        <v>0</v>
      </c>
      <c r="L134" s="137">
        <f t="shared" si="1"/>
        <v>0</v>
      </c>
      <c r="M134" s="137">
        <f t="shared" si="1"/>
        <v>0</v>
      </c>
      <c r="N134" s="137">
        <f t="shared" si="1"/>
        <v>0</v>
      </c>
      <c r="O134" s="137">
        <f t="shared" si="1"/>
        <v>0</v>
      </c>
    </row>
    <row r="135" spans="2:17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">-H67</f>
        <v>335.75359868662508</v>
      </c>
      <c r="I135" s="140">
        <f t="shared" si="2"/>
        <v>355.64473080341099</v>
      </c>
      <c r="J135" s="122">
        <f t="shared" si="2"/>
        <v>378.47171053595611</v>
      </c>
      <c r="K135" s="140">
        <f t="shared" si="2"/>
        <v>0</v>
      </c>
      <c r="L135" s="140">
        <f t="shared" si="2"/>
        <v>0</v>
      </c>
      <c r="M135" s="140">
        <f t="shared" si="2"/>
        <v>0</v>
      </c>
      <c r="N135" s="140">
        <f t="shared" si="2"/>
        <v>0</v>
      </c>
      <c r="O135" s="140">
        <f t="shared" si="2"/>
        <v>0</v>
      </c>
    </row>
    <row r="136" spans="2:17" ht="12.95" customHeight="1" outlineLevel="1" x14ac:dyDescent="0.2">
      <c r="J136" s="161"/>
      <c r="K136" s="93"/>
    </row>
    <row r="137" spans="2:17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7" ht="12.95" customHeight="1" x14ac:dyDescent="0.2">
      <c r="B138" s="1" t="s">
        <v>68</v>
      </c>
      <c r="H138" s="335"/>
      <c r="I138" s="335"/>
      <c r="J138" s="336"/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7" ht="12.95" customHeight="1" x14ac:dyDescent="0.2">
      <c r="B139" s="1" t="s">
        <v>69</v>
      </c>
      <c r="H139" s="225"/>
      <c r="I139" s="225"/>
      <c r="J139" s="125"/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7" ht="12.95" customHeight="1" x14ac:dyDescent="0.2">
      <c r="B140" s="1" t="s">
        <v>70</v>
      </c>
      <c r="H140" s="129"/>
      <c r="I140" s="129"/>
      <c r="J140" s="165"/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7" ht="12.95" customHeight="1" x14ac:dyDescent="0.2">
      <c r="B141" s="1" t="s">
        <v>164</v>
      </c>
      <c r="H141" s="129"/>
      <c r="I141" s="129"/>
      <c r="J141" s="165"/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7" ht="3" customHeight="1" x14ac:dyDescent="0.2">
      <c r="H142" s="29"/>
      <c r="I142" s="29"/>
      <c r="J142" s="59"/>
      <c r="K142" s="93"/>
    </row>
    <row r="143" spans="2:17" ht="12.95" customHeight="1" x14ac:dyDescent="0.2">
      <c r="B143" s="1" t="s">
        <v>71</v>
      </c>
      <c r="H143" s="335"/>
      <c r="I143" s="335"/>
      <c r="J143" s="340"/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7" ht="12.95" customHeight="1" x14ac:dyDescent="0.2">
      <c r="B144" s="1" t="s">
        <v>72</v>
      </c>
      <c r="H144" s="129"/>
      <c r="I144" s="129"/>
      <c r="J144" s="165"/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129"/>
      <c r="I145" s="129"/>
      <c r="J145" s="165"/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129"/>
      <c r="I146" s="129"/>
      <c r="J146" s="165"/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60"/>
      <c r="I148" s="160"/>
      <c r="J148" s="120"/>
      <c r="K148" s="117"/>
      <c r="L148" s="160"/>
      <c r="M148" s="160"/>
      <c r="N148" s="160"/>
      <c r="O148" s="160"/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342"/>
      <c r="I149" s="342"/>
      <c r="J149" s="343"/>
      <c r="K149" s="342"/>
      <c r="L149" s="342"/>
      <c r="M149" s="342"/>
      <c r="N149" s="342"/>
      <c r="O149" s="342"/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/>
      <c r="L155" s="160"/>
      <c r="M155" s="160"/>
      <c r="N155" s="160"/>
      <c r="O155" s="160"/>
      <c r="P155" s="143"/>
      <c r="Q155" s="143"/>
    </row>
    <row r="156" spans="1:17" ht="12.95" customHeight="1" x14ac:dyDescent="0.2">
      <c r="B156" s="1" t="s">
        <v>77</v>
      </c>
      <c r="H156" s="23"/>
      <c r="I156" s="23"/>
      <c r="J156" s="23"/>
      <c r="K156" s="137"/>
      <c r="L156" s="137"/>
      <c r="M156" s="137"/>
      <c r="N156" s="137"/>
      <c r="O156" s="137"/>
      <c r="P156" s="143"/>
      <c r="Q156" s="143"/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/>
      <c r="L160" s="137"/>
      <c r="M160" s="137"/>
      <c r="N160" s="137"/>
      <c r="O160" s="137"/>
      <c r="P160" s="143"/>
      <c r="Q160" s="202"/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/>
      <c r="L161" s="137"/>
      <c r="M161" s="137"/>
      <c r="N161" s="137"/>
      <c r="O161" s="137"/>
      <c r="P161" s="143"/>
      <c r="Q161" s="202"/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/>
      <c r="L162" s="137"/>
      <c r="M162" s="137"/>
      <c r="N162" s="137"/>
      <c r="O162" s="137"/>
      <c r="P162" s="143"/>
      <c r="Q162" s="202"/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/>
      <c r="L163" s="137"/>
      <c r="M163" s="137"/>
      <c r="N163" s="137"/>
      <c r="O163" s="137"/>
      <c r="P163" s="143"/>
      <c r="Q163" s="202"/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/>
      <c r="L164" s="137"/>
      <c r="M164" s="137"/>
      <c r="N164" s="137"/>
      <c r="O164" s="137"/>
      <c r="P164" s="143"/>
      <c r="Q164" s="202"/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/>
      <c r="L165" s="137"/>
      <c r="M165" s="137"/>
      <c r="N165" s="137"/>
      <c r="O165" s="137"/>
      <c r="P165" s="143"/>
      <c r="Q165" s="202"/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/>
      <c r="L166" s="137"/>
      <c r="M166" s="137"/>
      <c r="N166" s="137"/>
      <c r="O166" s="137"/>
      <c r="P166" s="143"/>
      <c r="Q166" s="202"/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/>
      <c r="L167" s="140"/>
      <c r="M167" s="140"/>
      <c r="N167" s="140"/>
      <c r="O167" s="140"/>
      <c r="P167" s="143"/>
      <c r="Q167" s="202"/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/>
      <c r="L168" s="147"/>
      <c r="M168" s="147"/>
      <c r="N168" s="147"/>
      <c r="O168" s="147"/>
      <c r="P168" s="143"/>
      <c r="Q168" s="143"/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/>
      <c r="L170" s="155"/>
      <c r="M170" s="155"/>
      <c r="N170" s="155"/>
      <c r="O170" s="155"/>
      <c r="P170" s="144"/>
      <c r="Q170" s="144"/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160"/>
      <c r="L173" s="160"/>
      <c r="M173" s="160"/>
      <c r="N173" s="160"/>
      <c r="O173" s="160"/>
      <c r="P173" s="143"/>
      <c r="Q173" s="143"/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/>
      <c r="L174" s="155"/>
      <c r="M174" s="155"/>
      <c r="N174" s="155"/>
      <c r="O174" s="155"/>
      <c r="P174" s="235"/>
      <c r="Q174" s="144"/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/>
      <c r="L182" s="257"/>
      <c r="M182" s="257"/>
      <c r="N182" s="257"/>
      <c r="O182" s="257"/>
      <c r="P182" s="175"/>
      <c r="Q182" s="143"/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/>
      <c r="L184" s="155"/>
      <c r="M184" s="155"/>
      <c r="N184" s="155"/>
      <c r="O184" s="155"/>
      <c r="P184" s="144"/>
      <c r="Q184" s="144"/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326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325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">+H133</f>
        <v>1209.9228781500001</v>
      </c>
      <c r="I249" s="137">
        <f t="shared" si="3"/>
        <v>1288.5678652297499</v>
      </c>
      <c r="J249" s="136">
        <f t="shared" si="3"/>
        <v>1378.7676157958326</v>
      </c>
      <c r="K249" s="136">
        <f t="shared" si="3"/>
        <v>0</v>
      </c>
      <c r="L249" s="137">
        <f t="shared" si="3"/>
        <v>0</v>
      </c>
      <c r="M249" s="137">
        <f t="shared" si="3"/>
        <v>0</v>
      </c>
      <c r="N249" s="137">
        <f t="shared" si="3"/>
        <v>0</v>
      </c>
      <c r="O249" s="137">
        <f t="shared" si="3"/>
        <v>0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"/>
        <v>679.97665752030014</v>
      </c>
      <c r="I250" s="137">
        <f t="shared" si="3"/>
        <v>721.59800452866</v>
      </c>
      <c r="J250" s="136">
        <f t="shared" si="3"/>
        <v>769.35232961407462</v>
      </c>
      <c r="K250" s="136">
        <f t="shared" si="3"/>
        <v>0</v>
      </c>
      <c r="L250" s="137">
        <f t="shared" si="3"/>
        <v>0</v>
      </c>
      <c r="M250" s="137">
        <f t="shared" si="3"/>
        <v>0</v>
      </c>
      <c r="N250" s="137">
        <f t="shared" si="3"/>
        <v>0</v>
      </c>
      <c r="O250" s="137">
        <f t="shared" si="3"/>
        <v>0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"/>
        <v>335.75359868662508</v>
      </c>
      <c r="I251" s="140">
        <f t="shared" si="3"/>
        <v>355.64473080341099</v>
      </c>
      <c r="J251" s="140">
        <f t="shared" si="3"/>
        <v>378.47171053595611</v>
      </c>
      <c r="K251" s="140">
        <f t="shared" si="3"/>
        <v>0</v>
      </c>
      <c r="L251" s="140">
        <f t="shared" si="3"/>
        <v>0</v>
      </c>
      <c r="M251" s="140">
        <f t="shared" si="3"/>
        <v>0</v>
      </c>
      <c r="N251" s="140">
        <f t="shared" si="3"/>
        <v>0</v>
      </c>
      <c r="O251" s="140">
        <f t="shared" si="3"/>
        <v>0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/>
      <c r="L255" s="178"/>
      <c r="M255" s="178"/>
      <c r="N255" s="178"/>
      <c r="O255" s="178"/>
      <c r="P255" s="143"/>
      <c r="Q255" s="143"/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/>
      <c r="L256" s="179"/>
      <c r="M256" s="179"/>
      <c r="N256" s="179"/>
      <c r="O256" s="179"/>
      <c r="P256" s="143"/>
      <c r="Q256" s="143"/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/>
      <c r="L257" s="180"/>
      <c r="M257" s="180"/>
      <c r="N257" s="180"/>
      <c r="O257" s="180"/>
      <c r="P257" s="143"/>
      <c r="Q257" s="143"/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/>
      <c r="L258" s="181"/>
      <c r="M258" s="181"/>
      <c r="N258" s="181"/>
      <c r="O258" s="181"/>
      <c r="P258" s="143"/>
      <c r="Q258" s="143"/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129"/>
      <c r="I259" s="129"/>
      <c r="J259" s="165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4"/>
      <c r="I260" s="324"/>
      <c r="J260" s="325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B28A-81D6-42C8-BBE9-D4F7A10A8B24}">
  <dimension ref="A2:X323"/>
  <sheetViews>
    <sheetView showGridLines="0" topLeftCell="A208" zoomScale="115" zoomScaleNormal="115" zoomScaleSheetLayoutView="85" workbookViewId="0">
      <selection activeCell="K178" sqref="K178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265">
        <f>+$K$63</f>
        <v>2021</v>
      </c>
      <c r="L102" s="265">
        <f>+$L$63</f>
        <v>2022</v>
      </c>
      <c r="M102" s="265">
        <f>+$M$63</f>
        <v>2023</v>
      </c>
      <c r="N102" s="265">
        <f>+$N$63</f>
        <v>2024</v>
      </c>
      <c r="O102" s="265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401.14931257755063</v>
      </c>
      <c r="L112" s="145">
        <f t="shared" si="15"/>
        <v>430.87083921834261</v>
      </c>
      <c r="M112" s="145">
        <f t="shared" si="15"/>
        <v>463.80543045119924</v>
      </c>
      <c r="N112" s="145">
        <f t="shared" si="15"/>
        <v>500.3492330720191</v>
      </c>
      <c r="O112" s="145">
        <f t="shared" si="15"/>
        <v>540.95416320373113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36">
        <f>+K219</f>
        <v>0</v>
      </c>
      <c r="L121" s="136">
        <f>+L219</f>
        <v>0</v>
      </c>
      <c r="M121" s="136">
        <f>+M219</f>
        <v>0</v>
      </c>
      <c r="N121" s="136">
        <f>+N219</f>
        <v>0</v>
      </c>
      <c r="O121" s="136">
        <f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316"/>
      <c r="L122" s="316"/>
      <c r="M122" s="316"/>
      <c r="N122" s="316"/>
      <c r="O122" s="316"/>
      <c r="Q122" s="46" t="s">
        <v>185</v>
      </c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>+K288</f>
        <v>871.95637425895563</v>
      </c>
      <c r="L127" s="136">
        <f t="shared" ref="L127:O127" si="18">+L288</f>
        <v>1066.9622043495142</v>
      </c>
      <c r="M127" s="136">
        <f t="shared" si="18"/>
        <v>1281.295403101484</v>
      </c>
      <c r="N127" s="136">
        <f t="shared" si="18"/>
        <v>1517.3268279293554</v>
      </c>
      <c r="O127" s="136">
        <f t="shared" si="18"/>
        <v>1777.7579200207692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si="19"/>
        <v>1236.3110759829678</v>
      </c>
      <c r="L128" s="155">
        <f t="shared" si="19"/>
        <v>1454.733155183314</v>
      </c>
      <c r="M128" s="155">
        <f t="shared" si="19"/>
        <v>1695.2081013763045</v>
      </c>
      <c r="N128" s="155">
        <f t="shared" si="19"/>
        <v>1960.4319490656997</v>
      </c>
      <c r="O128" s="155">
        <f t="shared" si="19"/>
        <v>2253.4756250078426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si="20"/>
        <v>-835.16176340541722</v>
      </c>
      <c r="L130" s="137">
        <f t="shared" si="20"/>
        <v>-1023.8623159649715</v>
      </c>
      <c r="M130" s="137">
        <f t="shared" si="20"/>
        <v>-1231.4026709251052</v>
      </c>
      <c r="N130" s="137">
        <f t="shared" si="20"/>
        <v>-1460.0827159936805</v>
      </c>
      <c r="O130" s="137">
        <f t="shared" si="20"/>
        <v>-1712.5214618041114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si="24"/>
        <v>111.80834588935704</v>
      </c>
      <c r="L148" s="17">
        <f t="shared" si="24"/>
        <v>120.14212366795721</v>
      </c>
      <c r="M148" s="17">
        <f t="shared" si="24"/>
        <v>129.39727185648195</v>
      </c>
      <c r="N148" s="17">
        <f t="shared" si="24"/>
        <v>139.68871789759925</v>
      </c>
      <c r="O148" s="17">
        <f t="shared" si="24"/>
        <v>151.1477237208893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si="25"/>
        <v>7.5611150684931516E-2</v>
      </c>
      <c r="L149" s="76">
        <f t="shared" si="25"/>
        <v>7.5578534246575318E-2</v>
      </c>
      <c r="M149" s="76">
        <f t="shared" si="25"/>
        <v>7.5545917808219162E-2</v>
      </c>
      <c r="N149" s="76">
        <f t="shared" si="25"/>
        <v>7.551330136986302E-2</v>
      </c>
      <c r="O149" s="76">
        <f t="shared" si="25"/>
        <v>7.5480684931506864E-2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207.68099832211581</v>
      </c>
      <c r="L170" s="155">
        <f>+SUM(L155:L157,L168)</f>
        <v>227.80851062171183</v>
      </c>
      <c r="M170" s="155">
        <f>+SUM(M155:M157,M168)</f>
        <v>250.36990590261146</v>
      </c>
      <c r="N170" s="155">
        <f>+SUM(N155:N157,N168)</f>
        <v>275.70044430739455</v>
      </c>
      <c r="O170" s="155">
        <f>+SUM(O155:O157,O168)</f>
        <v>304.18638215562356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270"/>
      <c r="L177" s="270"/>
      <c r="M177" s="270"/>
      <c r="N177" s="270"/>
      <c r="O177" s="270"/>
      <c r="Q177" s="1" t="s">
        <v>370</v>
      </c>
    </row>
    <row r="178" spans="1:20" s="93" customFormat="1" ht="12.95" customHeight="1" x14ac:dyDescent="0.2">
      <c r="B178" s="93" t="s">
        <v>156</v>
      </c>
      <c r="K178" s="136">
        <f>+K210</f>
        <v>0</v>
      </c>
      <c r="L178" s="136">
        <f t="shared" ref="L178:O178" si="28">+L210</f>
        <v>0</v>
      </c>
      <c r="M178" s="136">
        <f t="shared" si="28"/>
        <v>0</v>
      </c>
      <c r="N178" s="136">
        <f t="shared" si="28"/>
        <v>0</v>
      </c>
      <c r="O178" s="136">
        <f t="shared" si="28"/>
        <v>0</v>
      </c>
    </row>
    <row r="179" spans="1:20" s="93" customFormat="1" ht="12.95" customHeight="1" x14ac:dyDescent="0.2">
      <c r="B179" s="93" t="s">
        <v>112</v>
      </c>
      <c r="K179" s="136">
        <f t="shared" ref="K179:O181" si="29">+K198</f>
        <v>0</v>
      </c>
      <c r="L179" s="136">
        <f t="shared" si="29"/>
        <v>0</v>
      </c>
      <c r="M179" s="136">
        <f t="shared" si="29"/>
        <v>0</v>
      </c>
      <c r="N179" s="136">
        <f t="shared" si="29"/>
        <v>0</v>
      </c>
      <c r="O179" s="136">
        <f t="shared" si="29"/>
        <v>0</v>
      </c>
    </row>
    <row r="180" spans="1:20" s="93" customFormat="1" ht="12.95" customHeight="1" x14ac:dyDescent="0.2">
      <c r="B180" s="93" t="s">
        <v>113</v>
      </c>
      <c r="K180" s="136">
        <f t="shared" si="29"/>
        <v>-5</v>
      </c>
      <c r="L180" s="136">
        <f t="shared" si="29"/>
        <v>-5</v>
      </c>
      <c r="M180" s="136">
        <f t="shared" si="29"/>
        <v>-5</v>
      </c>
      <c r="N180" s="136">
        <f t="shared" si="29"/>
        <v>-5</v>
      </c>
      <c r="O180" s="136">
        <f t="shared" si="29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si="29"/>
        <v>-9.3559137512628947</v>
      </c>
      <c r="L181" s="136">
        <f t="shared" si="29"/>
        <v>-10.263464741608358</v>
      </c>
      <c r="M181" s="136">
        <f t="shared" si="29"/>
        <v>-11.280694671156301</v>
      </c>
      <c r="N181" s="136">
        <f t="shared" si="29"/>
        <v>-12.422706569887971</v>
      </c>
      <c r="O181" s="136">
        <f t="shared" si="29"/>
        <v>-13.70689958375862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-14.355913751262895</v>
      </c>
      <c r="L182" s="257">
        <f>+SUM(L177:L181)</f>
        <v>-15.263464741608358</v>
      </c>
      <c r="M182" s="257">
        <f>+SUM(M177:M181)</f>
        <v>-16.280694671156301</v>
      </c>
      <c r="N182" s="257">
        <f>+SUM(N177:N181)</f>
        <v>-17.422706569887971</v>
      </c>
      <c r="O182" s="257">
        <f>+SUM(O177:O181)</f>
        <v>-18.70689958375862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171.88352468570795</v>
      </c>
      <c r="L184" s="155">
        <f>+L170+L174+L182</f>
        <v>188.70055255955435</v>
      </c>
      <c r="M184" s="155">
        <f>+M170+M174+M182</f>
        <v>207.54035496013375</v>
      </c>
      <c r="N184" s="155">
        <f>+N170+N174+N182</f>
        <v>228.68004506857537</v>
      </c>
      <c r="O184" s="155">
        <f>+O170+O174+O182</f>
        <v>252.4387458104307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315"/>
      <c r="L191" s="315"/>
      <c r="M191" s="315"/>
      <c r="N191" s="315"/>
      <c r="O191" s="315"/>
      <c r="Q191" s="1" t="s">
        <v>362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266"/>
      <c r="L192" s="266"/>
      <c r="M192" s="266"/>
      <c r="N192" s="266"/>
      <c r="O192" s="266"/>
      <c r="Q192" s="1" t="s">
        <v>184</v>
      </c>
    </row>
    <row r="194" spans="2:15" ht="12.95" customHeight="1" x14ac:dyDescent="0.2">
      <c r="B194" s="18" t="s">
        <v>326</v>
      </c>
    </row>
    <row r="195" spans="2:15" ht="12.95" customHeight="1" x14ac:dyDescent="0.2">
      <c r="B195" s="1" t="s">
        <v>87</v>
      </c>
      <c r="K195" s="160">
        <f>+K170+K174</f>
        <v>186.23943843697086</v>
      </c>
      <c r="L195" s="160">
        <f>+L170+L174</f>
        <v>203.9640173011627</v>
      </c>
      <c r="M195" s="160">
        <f>+M170+M174</f>
        <v>223.82104963129007</v>
      </c>
      <c r="N195" s="160">
        <f>+N170+N174</f>
        <v>246.10275163846333</v>
      </c>
      <c r="O195" s="160">
        <f>+O170+O174</f>
        <v>271.14564539418933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>
        <f>SUM(K195:K196)</f>
        <v>186.23943843697086</v>
      </c>
      <c r="L197" s="155">
        <f>SUM(L195:L196)</f>
        <v>203.9640173011627</v>
      </c>
      <c r="M197" s="155">
        <f>SUM(M195:M196)</f>
        <v>223.82104963129007</v>
      </c>
      <c r="N197" s="155">
        <f>SUM(N195:N196)</f>
        <v>246.10275163846333</v>
      </c>
      <c r="O197" s="155">
        <f>SUM(O195:O196)</f>
        <v>271.14564539418933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 t="shared" ref="L198:O198" si="30">+L268</f>
        <v>0</v>
      </c>
      <c r="M198" s="171">
        <f t="shared" si="30"/>
        <v>0</v>
      </c>
      <c r="N198" s="171">
        <f t="shared" si="30"/>
        <v>0</v>
      </c>
      <c r="O198" s="171">
        <f t="shared" si="30"/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 t="shared" ref="L199:O199" si="31">+L278</f>
        <v>-5</v>
      </c>
      <c r="M199" s="171">
        <f t="shared" si="31"/>
        <v>-5</v>
      </c>
      <c r="N199" s="171">
        <f t="shared" si="31"/>
        <v>-5</v>
      </c>
      <c r="O199" s="171">
        <f t="shared" si="31"/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>+K287</f>
        <v>-9.3559137512628947</v>
      </c>
      <c r="L200" s="172">
        <f t="shared" ref="L200:O200" si="32">+L287</f>
        <v>-10.263464741608358</v>
      </c>
      <c r="M200" s="172">
        <f t="shared" si="32"/>
        <v>-11.280694671156301</v>
      </c>
      <c r="N200" s="172">
        <f t="shared" si="32"/>
        <v>-12.422706569887971</v>
      </c>
      <c r="O200" s="172">
        <f t="shared" si="32"/>
        <v>-13.70689958375862</v>
      </c>
    </row>
    <row r="201" spans="2:15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94">
        <f>+SUM(K197:K200)</f>
        <v>171.88352468570795</v>
      </c>
      <c r="L201" s="94">
        <f>+SUM(L197:L200)</f>
        <v>188.70055255955435</v>
      </c>
      <c r="M201" s="94">
        <f>+SUM(M197:M200)</f>
        <v>207.54035496013375</v>
      </c>
      <c r="N201" s="94">
        <f>+SUM(N197:N200)</f>
        <v>228.68004506857537</v>
      </c>
      <c r="O201" s="94">
        <f>+SUM(O197:O200)</f>
        <v>252.4387458104307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>+K103</f>
        <v>0</v>
      </c>
      <c r="M203" s="160">
        <f>+L103</f>
        <v>0</v>
      </c>
      <c r="N203" s="160">
        <f>+M103</f>
        <v>0</v>
      </c>
      <c r="O203" s="160">
        <f>+N103</f>
        <v>0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325</v>
      </c>
      <c r="H205" s="23"/>
      <c r="I205" s="23"/>
      <c r="J205" s="23"/>
      <c r="K205" s="137">
        <f>+K201</f>
        <v>171.88352468570795</v>
      </c>
      <c r="L205" s="137">
        <f>+L201</f>
        <v>188.70055255955435</v>
      </c>
      <c r="M205" s="137">
        <f>+M201</f>
        <v>207.54035496013375</v>
      </c>
      <c r="N205" s="137">
        <f>+N201</f>
        <v>228.68004506857537</v>
      </c>
      <c r="O205" s="137">
        <f>+O201</f>
        <v>252.4387458104307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>SUM(K203:K205)</f>
        <v>880.16176340541722</v>
      </c>
      <c r="L206" s="155">
        <f>SUM(L203:L205)</f>
        <v>183.70055255955435</v>
      </c>
      <c r="M206" s="155">
        <f>SUM(M203:M205)</f>
        <v>202.54035496013375</v>
      </c>
      <c r="N206" s="155">
        <f>SUM(N203:N205)</f>
        <v>223.68004506857537</v>
      </c>
      <c r="O206" s="155">
        <f>SUM(O203:O205)</f>
        <v>247.4387458104307</v>
      </c>
    </row>
    <row r="208" spans="2:15" s="21" customFormat="1" ht="12.95" customHeight="1" x14ac:dyDescent="0.2">
      <c r="B208" s="18" t="s">
        <v>154</v>
      </c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>+K218</f>
        <v>0</v>
      </c>
      <c r="L209" s="140">
        <f>+L218</f>
        <v>0</v>
      </c>
      <c r="M209" s="140">
        <f>+M218</f>
        <v>0</v>
      </c>
      <c r="N209" s="140">
        <f>+N218</f>
        <v>0</v>
      </c>
      <c r="O209" s="140">
        <f>+O218</f>
        <v>0</v>
      </c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>SUM(K209:K209)</f>
        <v>0</v>
      </c>
      <c r="L210" s="154">
        <f>SUM(L209:L209)</f>
        <v>0</v>
      </c>
      <c r="M210" s="154">
        <f>SUM(M209:M209)</f>
        <v>0</v>
      </c>
      <c r="N210" s="154">
        <f>SUM(N209:N209)</f>
        <v>0</v>
      </c>
      <c r="O210" s="154">
        <f>SUM(O209:O209)</f>
        <v>0</v>
      </c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>
        <f>+J121</f>
        <v>0</v>
      </c>
      <c r="L217" s="160">
        <f>+K219</f>
        <v>0</v>
      </c>
      <c r="M217" s="160">
        <f>+L219</f>
        <v>0</v>
      </c>
      <c r="N217" s="160">
        <f>+M219</f>
        <v>0</v>
      </c>
      <c r="O217" s="160">
        <f>+N219</f>
        <v>0</v>
      </c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53">
        <f>-MIN(K217,K206)</f>
        <v>0</v>
      </c>
      <c r="L218" s="153">
        <f>-MIN(L217,L206)</f>
        <v>0</v>
      </c>
      <c r="M218" s="153">
        <f>-MIN(M217,M206)</f>
        <v>0</v>
      </c>
      <c r="N218" s="153">
        <f>-MIN(N217,N206)</f>
        <v>0</v>
      </c>
      <c r="O218" s="153">
        <f>-MIN(O217,O206)</f>
        <v>0</v>
      </c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>SUM(K217:K218)</f>
        <v>0</v>
      </c>
      <c r="L219" s="147">
        <f>SUM(L217:L218)</f>
        <v>0</v>
      </c>
      <c r="M219" s="147">
        <f>SUM(M217:M218)</f>
        <v>0</v>
      </c>
      <c r="N219" s="147">
        <f>SUM(N217:N218)</f>
        <v>0</v>
      </c>
      <c r="O219" s="147">
        <f>SUM(O217:O218)</f>
        <v>0</v>
      </c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>
        <f>+IF(K219&gt;$I$221,1,0)</f>
        <v>0</v>
      </c>
      <c r="L225" s="259">
        <f>+IF(L219&gt;$I$221,1,0)</f>
        <v>0</v>
      </c>
      <c r="M225" s="259">
        <f>+IF(M219&gt;$I$221,1,0)</f>
        <v>0</v>
      </c>
      <c r="N225" s="259">
        <f>+IF(N219&gt;$I$221,1,0)</f>
        <v>0</v>
      </c>
      <c r="O225" s="259">
        <f>+IF(O219&gt;$I$221,1,0)</f>
        <v>0</v>
      </c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281"/>
      <c r="L228" s="270"/>
      <c r="M228" s="270"/>
      <c r="N228" s="270"/>
      <c r="O228" s="270"/>
      <c r="Q228" s="1" t="s">
        <v>182</v>
      </c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278"/>
      <c r="L230" s="278"/>
      <c r="M230" s="278"/>
      <c r="N230" s="278"/>
      <c r="O230" s="278"/>
      <c r="Q230" s="1" t="s">
        <v>183</v>
      </c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3">+H133</f>
        <v>1209.9228781500001</v>
      </c>
      <c r="I249" s="137">
        <f t="shared" si="33"/>
        <v>1288.5678652297499</v>
      </c>
      <c r="J249" s="136">
        <f t="shared" si="33"/>
        <v>1378.7676157958326</v>
      </c>
      <c r="K249" s="136">
        <f t="shared" si="33"/>
        <v>1478.7282679410305</v>
      </c>
      <c r="L249" s="137">
        <f t="shared" si="33"/>
        <v>1589.6328880366079</v>
      </c>
      <c r="M249" s="137">
        <f t="shared" si="33"/>
        <v>1712.8294368594452</v>
      </c>
      <c r="N249" s="137">
        <f t="shared" si="33"/>
        <v>1849.8557918082008</v>
      </c>
      <c r="O249" s="137">
        <f t="shared" si="33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3"/>
        <v>679.97665752030014</v>
      </c>
      <c r="I250" s="137">
        <f t="shared" si="33"/>
        <v>721.59800452866</v>
      </c>
      <c r="J250" s="136">
        <f t="shared" si="33"/>
        <v>769.35232961407462</v>
      </c>
      <c r="K250" s="136">
        <f t="shared" si="33"/>
        <v>822.17291697521307</v>
      </c>
      <c r="L250" s="137">
        <f t="shared" si="33"/>
        <v>880.65661997228085</v>
      </c>
      <c r="M250" s="137">
        <f t="shared" si="33"/>
        <v>945.48184914641388</v>
      </c>
      <c r="N250" s="137">
        <f t="shared" si="33"/>
        <v>1017.4206854945105</v>
      </c>
      <c r="O250" s="137">
        <f t="shared" si="33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3"/>
        <v>335.75359868662508</v>
      </c>
      <c r="I251" s="140">
        <f t="shared" si="33"/>
        <v>355.64473080341099</v>
      </c>
      <c r="J251" s="140">
        <f t="shared" si="33"/>
        <v>378.47171053595611</v>
      </c>
      <c r="K251" s="140">
        <f t="shared" si="33"/>
        <v>403.69281714790134</v>
      </c>
      <c r="L251" s="140">
        <f t="shared" si="33"/>
        <v>431.58532910193907</v>
      </c>
      <c r="M251" s="140">
        <f t="shared" si="33"/>
        <v>462.46394795205021</v>
      </c>
      <c r="N251" s="140">
        <f t="shared" si="33"/>
        <v>496.68628010050196</v>
      </c>
      <c r="O251" s="140">
        <f t="shared" si="33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>+K288</f>
        <v>871.95637425895563</v>
      </c>
      <c r="M285" s="178">
        <f>+L288</f>
        <v>1066.9622043495142</v>
      </c>
      <c r="N285" s="178">
        <f>+M288</f>
        <v>1281.295403101484</v>
      </c>
      <c r="O285" s="178">
        <f>+N288</f>
        <v>1517.3268279293554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4">+H73</f>
        <v>144.38336269074406</v>
      </c>
      <c r="I286" s="135">
        <f t="shared" si="34"/>
        <v>158.09058392211767</v>
      </c>
      <c r="J286" s="229">
        <f t="shared" si="34"/>
        <v>173.73619092811771</v>
      </c>
      <c r="K286" s="179">
        <f t="shared" si="34"/>
        <v>187.1182750252579</v>
      </c>
      <c r="L286" s="179">
        <f t="shared" si="34"/>
        <v>205.26929483216713</v>
      </c>
      <c r="M286" s="179">
        <f t="shared" si="34"/>
        <v>225.613893423126</v>
      </c>
      <c r="N286" s="179">
        <f t="shared" si="34"/>
        <v>248.4541313977594</v>
      </c>
      <c r="O286" s="179">
        <f t="shared" si="34"/>
        <v>274.13799167517237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>-K289*K286</f>
        <v>-9.3559137512628947</v>
      </c>
      <c r="L287" s="194">
        <f>-L289*L286</f>
        <v>-10.263464741608358</v>
      </c>
      <c r="M287" s="194">
        <f>-M289*M286</f>
        <v>-11.280694671156301</v>
      </c>
      <c r="N287" s="194">
        <f>-N289*N286</f>
        <v>-12.422706569887971</v>
      </c>
      <c r="O287" s="194">
        <f>-O289*O286</f>
        <v>-13.70689958375862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>SUM(K285:K287)</f>
        <v>871.95637425895563</v>
      </c>
      <c r="L288" s="181">
        <f>SUM(L285:L287)</f>
        <v>1066.9622043495142</v>
      </c>
      <c r="M288" s="181">
        <f>SUM(M285:M287)</f>
        <v>1281.295403101484</v>
      </c>
      <c r="N288" s="181">
        <f>SUM(N285:N287)</f>
        <v>1517.3268279293554</v>
      </c>
      <c r="O288" s="181">
        <f>SUM(O285:O287)</f>
        <v>1777.7579200207692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F27A7-186F-46C2-91BF-653D77656330}">
  <dimension ref="A2:X323"/>
  <sheetViews>
    <sheetView showGridLines="0" topLeftCell="A98" zoomScaleNormal="100" zoomScaleSheetLayoutView="85" workbookViewId="0">
      <selection activeCell="A103" sqref="A103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81"/>
    </row>
    <row r="70" spans="2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81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271"/>
      <c r="L103" s="271"/>
      <c r="M103" s="271"/>
      <c r="N103" s="271"/>
      <c r="O103" s="271"/>
      <c r="Q103" s="46" t="s">
        <v>416</v>
      </c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401.14931257755063</v>
      </c>
      <c r="L112" s="145">
        <f t="shared" si="15"/>
        <v>430.87083921834261</v>
      </c>
      <c r="M112" s="145">
        <f t="shared" si="15"/>
        <v>463.80543045119924</v>
      </c>
      <c r="N112" s="145">
        <f t="shared" si="15"/>
        <v>500.3492330720191</v>
      </c>
      <c r="O112" s="145">
        <f t="shared" si="15"/>
        <v>540.95416320373113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>+K219</f>
        <v>0</v>
      </c>
      <c r="L121" s="152">
        <f>+L219</f>
        <v>0</v>
      </c>
      <c r="M121" s="152">
        <f>+M219</f>
        <v>0</v>
      </c>
      <c r="N121" s="152">
        <f>+N219</f>
        <v>0</v>
      </c>
      <c r="O121" s="152">
        <f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50</v>
      </c>
      <c r="L123" s="154">
        <f t="shared" si="17"/>
        <v>50</v>
      </c>
      <c r="M123" s="154">
        <f t="shared" si="17"/>
        <v>50</v>
      </c>
      <c r="N123" s="154">
        <f t="shared" si="17"/>
        <v>50</v>
      </c>
      <c r="O123" s="154">
        <f t="shared" si="1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>+K288</f>
        <v>871.95637425895563</v>
      </c>
      <c r="L127" s="136">
        <f t="shared" ref="L127:O127" si="18">+L288</f>
        <v>1066.9622043495142</v>
      </c>
      <c r="M127" s="136">
        <f t="shared" si="18"/>
        <v>1281.295403101484</v>
      </c>
      <c r="N127" s="136">
        <f t="shared" si="18"/>
        <v>1517.3268279293554</v>
      </c>
      <c r="O127" s="136">
        <f t="shared" si="18"/>
        <v>1777.7579200207692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si="19"/>
        <v>1286.3110759829678</v>
      </c>
      <c r="L128" s="155">
        <f t="shared" si="19"/>
        <v>1504.733155183314</v>
      </c>
      <c r="M128" s="155">
        <f t="shared" si="19"/>
        <v>1745.2081013763045</v>
      </c>
      <c r="N128" s="155">
        <f t="shared" si="19"/>
        <v>2010.4319490656997</v>
      </c>
      <c r="O128" s="155">
        <f t="shared" si="19"/>
        <v>2303.4756250078426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si="20"/>
        <v>-885.16176340541722</v>
      </c>
      <c r="L130" s="137">
        <f t="shared" si="20"/>
        <v>-1073.8623159649715</v>
      </c>
      <c r="M130" s="137">
        <f t="shared" si="20"/>
        <v>-1281.4026709251052</v>
      </c>
      <c r="N130" s="137">
        <f t="shared" si="20"/>
        <v>-1510.0827159936805</v>
      </c>
      <c r="O130" s="137">
        <f t="shared" si="20"/>
        <v>-1762.5214618041114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si="24"/>
        <v>111.80834588935704</v>
      </c>
      <c r="L148" s="17">
        <f t="shared" si="24"/>
        <v>120.14212366795721</v>
      </c>
      <c r="M148" s="17">
        <f t="shared" si="24"/>
        <v>129.39727185648195</v>
      </c>
      <c r="N148" s="17">
        <f t="shared" si="24"/>
        <v>139.68871789759925</v>
      </c>
      <c r="O148" s="17">
        <f t="shared" si="24"/>
        <v>151.1477237208893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si="25"/>
        <v>7.5611150684931516E-2</v>
      </c>
      <c r="L149" s="76">
        <f t="shared" si="25"/>
        <v>7.5578534246575318E-2</v>
      </c>
      <c r="M149" s="76">
        <f t="shared" si="25"/>
        <v>7.5545917808219162E-2</v>
      </c>
      <c r="N149" s="76">
        <f t="shared" si="25"/>
        <v>7.551330136986302E-2</v>
      </c>
      <c r="O149" s="76">
        <f t="shared" si="25"/>
        <v>7.5480684931506864E-2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207.68099832211581</v>
      </c>
      <c r="L170" s="155">
        <f>+SUM(L155:L157,L168)</f>
        <v>227.80851062171183</v>
      </c>
      <c r="M170" s="155">
        <f>+SUM(M155:M157,M168)</f>
        <v>250.36990590261146</v>
      </c>
      <c r="N170" s="155">
        <f>+SUM(N155:N157,N168)</f>
        <v>275.70044430739455</v>
      </c>
      <c r="O170" s="155">
        <f>+SUM(O155:O157,O168)</f>
        <v>304.18638215562356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28">+L192</f>
        <v>0</v>
      </c>
      <c r="M177" s="160">
        <f t="shared" si="28"/>
        <v>0</v>
      </c>
      <c r="N177" s="160">
        <f t="shared" si="28"/>
        <v>0</v>
      </c>
      <c r="O177" s="160">
        <f t="shared" si="28"/>
        <v>0</v>
      </c>
    </row>
    <row r="178" spans="1:20" s="93" customFormat="1" ht="12.95" customHeight="1" x14ac:dyDescent="0.2">
      <c r="B178" s="93" t="s">
        <v>156</v>
      </c>
      <c r="K178" s="136">
        <f>+K210</f>
        <v>0</v>
      </c>
      <c r="L178" s="136">
        <f t="shared" ref="L178:O178" si="29">+L210</f>
        <v>0</v>
      </c>
      <c r="M178" s="136">
        <f t="shared" si="29"/>
        <v>0</v>
      </c>
      <c r="N178" s="136">
        <f t="shared" si="29"/>
        <v>0</v>
      </c>
      <c r="O178" s="136">
        <f t="shared" si="29"/>
        <v>0</v>
      </c>
    </row>
    <row r="179" spans="1:20" s="93" customFormat="1" ht="12.95" customHeight="1" x14ac:dyDescent="0.2">
      <c r="B179" s="93" t="s">
        <v>112</v>
      </c>
      <c r="K179" s="136">
        <f>+K198</f>
        <v>0</v>
      </c>
      <c r="L179" s="136">
        <f t="shared" ref="L179:O179" si="30">+L198</f>
        <v>0</v>
      </c>
      <c r="M179" s="136">
        <f t="shared" si="30"/>
        <v>0</v>
      </c>
      <c r="N179" s="136">
        <f t="shared" si="30"/>
        <v>0</v>
      </c>
      <c r="O179" s="136">
        <f t="shared" si="30"/>
        <v>0</v>
      </c>
    </row>
    <row r="180" spans="1:20" s="93" customFormat="1" ht="12.95" customHeight="1" x14ac:dyDescent="0.2">
      <c r="B180" s="93" t="s">
        <v>113</v>
      </c>
      <c r="K180" s="136">
        <f t="shared" ref="K180:O181" si="31">+K199</f>
        <v>-5</v>
      </c>
      <c r="L180" s="136">
        <f t="shared" si="31"/>
        <v>-5</v>
      </c>
      <c r="M180" s="136">
        <f t="shared" si="31"/>
        <v>-5</v>
      </c>
      <c r="N180" s="136">
        <f t="shared" si="31"/>
        <v>-5</v>
      </c>
      <c r="O180" s="136">
        <f t="shared" si="31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si="31"/>
        <v>-9.3559137512628947</v>
      </c>
      <c r="L181" s="136">
        <f t="shared" si="31"/>
        <v>-10.263464741608358</v>
      </c>
      <c r="M181" s="136">
        <f t="shared" si="31"/>
        <v>-11.280694671156301</v>
      </c>
      <c r="N181" s="136">
        <f t="shared" si="31"/>
        <v>-12.422706569887971</v>
      </c>
      <c r="O181" s="136">
        <f t="shared" si="31"/>
        <v>-13.70689958375862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-14.355913751262895</v>
      </c>
      <c r="L182" s="257">
        <f>+SUM(L177:L181)</f>
        <v>-15.263464741608358</v>
      </c>
      <c r="M182" s="257">
        <f>+SUM(M177:M181)</f>
        <v>-16.280694671156301</v>
      </c>
      <c r="N182" s="257">
        <f>+SUM(N177:N181)</f>
        <v>-17.422706569887971</v>
      </c>
      <c r="O182" s="257">
        <f>+SUM(O177:O181)</f>
        <v>-18.70689958375862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171.88352468570795</v>
      </c>
      <c r="L184" s="155">
        <f>+L170+L174+L182</f>
        <v>188.70055255955435</v>
      </c>
      <c r="M184" s="155">
        <f>+M170+M174+M182</f>
        <v>207.54035496013375</v>
      </c>
      <c r="N184" s="155">
        <f>+N170+N174+N182</f>
        <v>228.68004506857537</v>
      </c>
      <c r="O184" s="155">
        <f>+O170+O174+O182</f>
        <v>252.4387458104307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326</v>
      </c>
    </row>
    <row r="195" spans="2:15" ht="12.95" customHeight="1" x14ac:dyDescent="0.2">
      <c r="B195" s="1" t="s">
        <v>87</v>
      </c>
      <c r="K195" s="160">
        <f>+K170+K174</f>
        <v>186.23943843697086</v>
      </c>
      <c r="L195" s="160">
        <f>+L170+L174</f>
        <v>203.9640173011627</v>
      </c>
      <c r="M195" s="160">
        <f>+M170+M174</f>
        <v>223.82104963129007</v>
      </c>
      <c r="N195" s="160">
        <f>+N170+N174</f>
        <v>246.10275163846333</v>
      </c>
      <c r="O195" s="160">
        <f>+O170+O174</f>
        <v>271.14564539418933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>
        <f>SUM(K195:K196)</f>
        <v>186.23943843697086</v>
      </c>
      <c r="L197" s="155">
        <f>SUM(L195:L196)</f>
        <v>203.9640173011627</v>
      </c>
      <c r="M197" s="155">
        <f>SUM(M195:M196)</f>
        <v>223.82104963129007</v>
      </c>
      <c r="N197" s="155">
        <f>SUM(N195:N196)</f>
        <v>246.10275163846333</v>
      </c>
      <c r="O197" s="155">
        <f>SUM(O195:O196)</f>
        <v>271.14564539418933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 t="shared" ref="L198:O198" si="32">+L268</f>
        <v>0</v>
      </c>
      <c r="M198" s="171">
        <f t="shared" si="32"/>
        <v>0</v>
      </c>
      <c r="N198" s="171">
        <f t="shared" si="32"/>
        <v>0</v>
      </c>
      <c r="O198" s="171">
        <f t="shared" si="32"/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 t="shared" ref="L199:O199" si="33">+L278</f>
        <v>-5</v>
      </c>
      <c r="M199" s="171">
        <f t="shared" si="33"/>
        <v>-5</v>
      </c>
      <c r="N199" s="171">
        <f t="shared" si="33"/>
        <v>-5</v>
      </c>
      <c r="O199" s="171">
        <f t="shared" si="33"/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>+K287</f>
        <v>-9.3559137512628947</v>
      </c>
      <c r="L200" s="172">
        <f t="shared" ref="L200:O200" si="34">+L287</f>
        <v>-10.263464741608358</v>
      </c>
      <c r="M200" s="172">
        <f t="shared" si="34"/>
        <v>-11.280694671156301</v>
      </c>
      <c r="N200" s="172">
        <f t="shared" si="34"/>
        <v>-12.422706569887971</v>
      </c>
      <c r="O200" s="172">
        <f t="shared" si="34"/>
        <v>-13.70689958375862</v>
      </c>
    </row>
    <row r="201" spans="2:15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94">
        <f>+SUM(K197:K200)</f>
        <v>171.88352468570795</v>
      </c>
      <c r="L201" s="94">
        <f>+SUM(L197:L200)</f>
        <v>188.70055255955435</v>
      </c>
      <c r="M201" s="94">
        <f>+SUM(M197:M200)</f>
        <v>207.54035496013375</v>
      </c>
      <c r="N201" s="94">
        <f>+SUM(N197:N200)</f>
        <v>228.68004506857537</v>
      </c>
      <c r="O201" s="94">
        <f>+SUM(O197:O200)</f>
        <v>252.4387458104307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>+K103</f>
        <v>0</v>
      </c>
      <c r="M203" s="160">
        <f>+L103</f>
        <v>0</v>
      </c>
      <c r="N203" s="160">
        <f>+M103</f>
        <v>0</v>
      </c>
      <c r="O203" s="160">
        <f>+N103</f>
        <v>0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325</v>
      </c>
      <c r="H205" s="23"/>
      <c r="I205" s="23"/>
      <c r="J205" s="23"/>
      <c r="K205" s="137">
        <f>+K201</f>
        <v>171.88352468570795</v>
      </c>
      <c r="L205" s="137">
        <f>+L201</f>
        <v>188.70055255955435</v>
      </c>
      <c r="M205" s="137">
        <f>+M201</f>
        <v>207.54035496013375</v>
      </c>
      <c r="N205" s="137">
        <f>+N201</f>
        <v>228.68004506857537</v>
      </c>
      <c r="O205" s="137">
        <f>+O201</f>
        <v>252.4387458104307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>SUM(K203:K205)</f>
        <v>880.16176340541722</v>
      </c>
      <c r="L206" s="155">
        <f>SUM(L203:L205)</f>
        <v>183.70055255955435</v>
      </c>
      <c r="M206" s="155">
        <f>SUM(M203:M205)</f>
        <v>202.54035496013375</v>
      </c>
      <c r="N206" s="155">
        <f>SUM(N203:N205)</f>
        <v>223.68004506857537</v>
      </c>
      <c r="O206" s="155">
        <f>SUM(O203:O205)</f>
        <v>247.4387458104307</v>
      </c>
    </row>
    <row r="208" spans="2:15" s="21" customFormat="1" ht="12.95" customHeight="1" x14ac:dyDescent="0.2">
      <c r="B208" s="18" t="s">
        <v>154</v>
      </c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>+K218</f>
        <v>0</v>
      </c>
      <c r="L209" s="140">
        <f>+L218</f>
        <v>0</v>
      </c>
      <c r="M209" s="140">
        <f>+M218</f>
        <v>0</v>
      </c>
      <c r="N209" s="140">
        <f>+N218</f>
        <v>0</v>
      </c>
      <c r="O209" s="140">
        <f>+O218</f>
        <v>0</v>
      </c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>SUM(K209:K209)</f>
        <v>0</v>
      </c>
      <c r="L210" s="154">
        <f>SUM(L209:L209)</f>
        <v>0</v>
      </c>
      <c r="M210" s="154">
        <f>SUM(M209:M209)</f>
        <v>0</v>
      </c>
      <c r="N210" s="154">
        <f>SUM(N209:N209)</f>
        <v>0</v>
      </c>
      <c r="O210" s="154">
        <f>SUM(O209:O209)</f>
        <v>0</v>
      </c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>
        <f>+J121</f>
        <v>0</v>
      </c>
      <c r="L217" s="160">
        <f>+K219</f>
        <v>0</v>
      </c>
      <c r="M217" s="160">
        <f>+L219</f>
        <v>0</v>
      </c>
      <c r="N217" s="160">
        <f>+M219</f>
        <v>0</v>
      </c>
      <c r="O217" s="160">
        <f>+N219</f>
        <v>0</v>
      </c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>-MIN(K217,K206)</f>
        <v>0</v>
      </c>
      <c r="L218" s="140">
        <f>-MIN(L217,L206)</f>
        <v>0</v>
      </c>
      <c r="M218" s="140">
        <f>-MIN(M217,M206)</f>
        <v>0</v>
      </c>
      <c r="N218" s="140">
        <f>-MIN(N217,N206)</f>
        <v>0</v>
      </c>
      <c r="O218" s="140">
        <f>-MIN(O217,O206)</f>
        <v>0</v>
      </c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>SUM(K217:K218)</f>
        <v>0</v>
      </c>
      <c r="L219" s="147">
        <f>SUM(L217:L218)</f>
        <v>0</v>
      </c>
      <c r="M219" s="147">
        <f>SUM(M217:M218)</f>
        <v>0</v>
      </c>
      <c r="N219" s="147">
        <f>SUM(N217:N218)</f>
        <v>0</v>
      </c>
      <c r="O219" s="147">
        <f>SUM(O217:O218)</f>
        <v>0</v>
      </c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>
        <f>+IF(K219&gt;$I$221,1,0)</f>
        <v>0</v>
      </c>
      <c r="L225" s="259">
        <f>+IF(L219&gt;$I$221,1,0)</f>
        <v>0</v>
      </c>
      <c r="M225" s="259">
        <f>+IF(M219&gt;$I$221,1,0)</f>
        <v>0</v>
      </c>
      <c r="N225" s="259">
        <f>+IF(N219&gt;$I$221,1,0)</f>
        <v>0</v>
      </c>
      <c r="O225" s="259">
        <f>+IF(O219&gt;$I$221,1,0)</f>
        <v>0</v>
      </c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5">+H133</f>
        <v>1209.9228781500001</v>
      </c>
      <c r="I249" s="137">
        <f t="shared" si="35"/>
        <v>1288.5678652297499</v>
      </c>
      <c r="J249" s="136">
        <f t="shared" si="35"/>
        <v>1378.7676157958326</v>
      </c>
      <c r="K249" s="136">
        <f t="shared" si="35"/>
        <v>1478.7282679410305</v>
      </c>
      <c r="L249" s="137">
        <f t="shared" si="35"/>
        <v>1589.6328880366079</v>
      </c>
      <c r="M249" s="137">
        <f t="shared" si="35"/>
        <v>1712.8294368594452</v>
      </c>
      <c r="N249" s="137">
        <f t="shared" si="35"/>
        <v>1849.8557918082008</v>
      </c>
      <c r="O249" s="137">
        <f t="shared" si="35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5"/>
        <v>679.97665752030014</v>
      </c>
      <c r="I250" s="137">
        <f t="shared" si="35"/>
        <v>721.59800452866</v>
      </c>
      <c r="J250" s="136">
        <f t="shared" si="35"/>
        <v>769.35232961407462</v>
      </c>
      <c r="K250" s="136">
        <f t="shared" si="35"/>
        <v>822.17291697521307</v>
      </c>
      <c r="L250" s="137">
        <f t="shared" si="35"/>
        <v>880.65661997228085</v>
      </c>
      <c r="M250" s="137">
        <f t="shared" si="35"/>
        <v>945.48184914641388</v>
      </c>
      <c r="N250" s="137">
        <f t="shared" si="35"/>
        <v>1017.4206854945105</v>
      </c>
      <c r="O250" s="137">
        <f t="shared" si="35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5"/>
        <v>335.75359868662508</v>
      </c>
      <c r="I251" s="140">
        <f t="shared" si="35"/>
        <v>355.64473080341099</v>
      </c>
      <c r="J251" s="140">
        <f t="shared" si="35"/>
        <v>378.47171053595611</v>
      </c>
      <c r="K251" s="140">
        <f t="shared" si="35"/>
        <v>403.69281714790134</v>
      </c>
      <c r="L251" s="140">
        <f t="shared" si="35"/>
        <v>431.58532910193907</v>
      </c>
      <c r="M251" s="140">
        <f t="shared" si="35"/>
        <v>462.46394795205021</v>
      </c>
      <c r="N251" s="140">
        <f t="shared" si="35"/>
        <v>496.68628010050196</v>
      </c>
      <c r="O251" s="140">
        <f t="shared" si="35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>+K288</f>
        <v>871.95637425895563</v>
      </c>
      <c r="M285" s="178">
        <f>+L288</f>
        <v>1066.9622043495142</v>
      </c>
      <c r="N285" s="178">
        <f>+M288</f>
        <v>1281.295403101484</v>
      </c>
      <c r="O285" s="178">
        <f>+N288</f>
        <v>1517.3268279293554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6">+H73</f>
        <v>144.38336269074406</v>
      </c>
      <c r="I286" s="135">
        <f t="shared" si="36"/>
        <v>158.09058392211767</v>
      </c>
      <c r="J286" s="229">
        <f t="shared" si="36"/>
        <v>173.73619092811771</v>
      </c>
      <c r="K286" s="179">
        <f t="shared" si="36"/>
        <v>187.1182750252579</v>
      </c>
      <c r="L286" s="179">
        <f t="shared" si="36"/>
        <v>205.26929483216713</v>
      </c>
      <c r="M286" s="179">
        <f t="shared" si="36"/>
        <v>225.613893423126</v>
      </c>
      <c r="N286" s="179">
        <f t="shared" si="36"/>
        <v>248.4541313977594</v>
      </c>
      <c r="O286" s="179">
        <f t="shared" si="36"/>
        <v>274.13799167517237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>-K289*K286</f>
        <v>-9.3559137512628947</v>
      </c>
      <c r="L287" s="194">
        <f>-L289*L286</f>
        <v>-10.263464741608358</v>
      </c>
      <c r="M287" s="194">
        <f>-M289*M286</f>
        <v>-11.280694671156301</v>
      </c>
      <c r="N287" s="194">
        <f>-N289*N286</f>
        <v>-12.422706569887971</v>
      </c>
      <c r="O287" s="194">
        <f>-O289*O286</f>
        <v>-13.70689958375862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>SUM(K285:K287)</f>
        <v>871.95637425895563</v>
      </c>
      <c r="L288" s="181">
        <f>SUM(L285:L287)</f>
        <v>1066.9622043495142</v>
      </c>
      <c r="M288" s="181">
        <f>SUM(M285:M287)</f>
        <v>1281.295403101484</v>
      </c>
      <c r="N288" s="181">
        <f>SUM(N285:N287)</f>
        <v>1517.3268279293554</v>
      </c>
      <c r="O288" s="181">
        <f>SUM(O285:O287)</f>
        <v>1777.7579200207692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14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14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14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14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14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14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14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14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14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14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14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14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14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14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14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14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14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14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14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14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14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14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14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025F-42A1-4177-ABED-D58B42EC9F58}">
  <dimension ref="A2:X323"/>
  <sheetViews>
    <sheetView showGridLines="0" topLeftCell="A208" zoomScaleNormal="100" zoomScaleSheetLayoutView="85" workbookViewId="0">
      <selection activeCell="B241" sqref="B241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314"/>
      <c r="L69" s="305"/>
      <c r="M69" s="305"/>
      <c r="N69" s="305"/>
      <c r="O69" s="305"/>
      <c r="Q69" s="81" t="s">
        <v>180</v>
      </c>
    </row>
    <row r="70" spans="2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82"/>
      <c r="L70" s="282"/>
      <c r="M70" s="282"/>
      <c r="N70" s="282"/>
      <c r="O70" s="282"/>
      <c r="Q70" s="81" t="s">
        <v>181</v>
      </c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>+J103+K184</f>
        <v>885.16176340541722</v>
      </c>
      <c r="L103" s="118">
        <f>+K103+L184</f>
        <v>1073.8623159649715</v>
      </c>
      <c r="M103" s="118">
        <f>+L103+M184</f>
        <v>1281.4026709251052</v>
      </c>
      <c r="N103" s="118">
        <f>+M103+N184</f>
        <v>1510.0827159936805</v>
      </c>
      <c r="O103" s="118">
        <f>+N103+O184</f>
        <v>1762.5214618041111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1209.5825914607101</v>
      </c>
      <c r="L107" s="147">
        <f t="shared" si="14"/>
        <v>1421.9788529691964</v>
      </c>
      <c r="M107" s="147">
        <f t="shared" si="14"/>
        <v>1655.813107772414</v>
      </c>
      <c r="N107" s="147">
        <f t="shared" si="14"/>
        <v>1913.7060454720506</v>
      </c>
      <c r="O107" s="147">
        <f t="shared" si="14"/>
        <v>2198.642728406594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1286.3110759829678</v>
      </c>
      <c r="L112" s="145">
        <f t="shared" si="15"/>
        <v>1504.733155183314</v>
      </c>
      <c r="M112" s="145">
        <f t="shared" si="15"/>
        <v>1745.2081013763045</v>
      </c>
      <c r="N112" s="145">
        <f t="shared" si="15"/>
        <v>2010.4319490656994</v>
      </c>
      <c r="O112" s="145">
        <f t="shared" si="15"/>
        <v>2303.4756250078422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>+K219</f>
        <v>0</v>
      </c>
      <c r="L121" s="152">
        <f>+L219</f>
        <v>0</v>
      </c>
      <c r="M121" s="152">
        <f>+M219</f>
        <v>0</v>
      </c>
      <c r="N121" s="152">
        <f>+N219</f>
        <v>0</v>
      </c>
      <c r="O121" s="152">
        <f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50</v>
      </c>
      <c r="L123" s="154">
        <f t="shared" si="17"/>
        <v>50</v>
      </c>
      <c r="M123" s="154">
        <f t="shared" si="17"/>
        <v>50</v>
      </c>
      <c r="N123" s="154">
        <f t="shared" si="17"/>
        <v>50</v>
      </c>
      <c r="O123" s="154">
        <f t="shared" si="1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>+K288</f>
        <v>871.95637425895563</v>
      </c>
      <c r="L127" s="136">
        <f t="shared" ref="L127:O127" si="18">+L288</f>
        <v>1066.9622043495142</v>
      </c>
      <c r="M127" s="136">
        <f t="shared" si="18"/>
        <v>1281.295403101484</v>
      </c>
      <c r="N127" s="136">
        <f t="shared" si="18"/>
        <v>1517.3268279293554</v>
      </c>
      <c r="O127" s="136">
        <f t="shared" si="18"/>
        <v>1777.7579200207692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si="19"/>
        <v>1286.3110759829678</v>
      </c>
      <c r="L128" s="155">
        <f t="shared" si="19"/>
        <v>1504.733155183314</v>
      </c>
      <c r="M128" s="155">
        <f t="shared" si="19"/>
        <v>1745.2081013763045</v>
      </c>
      <c r="N128" s="155">
        <f t="shared" si="19"/>
        <v>2010.4319490656997</v>
      </c>
      <c r="O128" s="155">
        <f t="shared" si="19"/>
        <v>2303.4756250078426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si="20"/>
        <v>0</v>
      </c>
      <c r="L130" s="137">
        <f t="shared" si="20"/>
        <v>0</v>
      </c>
      <c r="M130" s="137">
        <f t="shared" si="20"/>
        <v>0</v>
      </c>
      <c r="N130" s="137">
        <f t="shared" si="20"/>
        <v>0</v>
      </c>
      <c r="O130" s="137">
        <f t="shared" si="20"/>
        <v>0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si="24"/>
        <v>111.80834588935716</v>
      </c>
      <c r="L148" s="17">
        <f t="shared" si="24"/>
        <v>120.14212366795709</v>
      </c>
      <c r="M148" s="17">
        <f t="shared" si="24"/>
        <v>129.39727185648201</v>
      </c>
      <c r="N148" s="17">
        <f t="shared" si="24"/>
        <v>139.68871789759919</v>
      </c>
      <c r="O148" s="17">
        <f t="shared" si="24"/>
        <v>151.1477237208893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si="25"/>
        <v>7.56111506849316E-2</v>
      </c>
      <c r="L149" s="76">
        <f t="shared" si="25"/>
        <v>7.5578534246575249E-2</v>
      </c>
      <c r="M149" s="76">
        <f t="shared" si="25"/>
        <v>7.554591780821919E-2</v>
      </c>
      <c r="N149" s="76">
        <f t="shared" si="25"/>
        <v>7.5513301369862992E-2</v>
      </c>
      <c r="O149" s="76">
        <f t="shared" si="25"/>
        <v>7.5480684931506864E-2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207.68099832211581</v>
      </c>
      <c r="L170" s="155">
        <f>+SUM(L155:L157,L168)</f>
        <v>227.80851062171183</v>
      </c>
      <c r="M170" s="155">
        <f>+SUM(M155:M157,M168)</f>
        <v>250.36990590261146</v>
      </c>
      <c r="N170" s="155">
        <f>+SUM(N155:N157,N168)</f>
        <v>275.70044430739455</v>
      </c>
      <c r="O170" s="155">
        <f>+SUM(O155:O157,O168)</f>
        <v>304.18638215562356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28">+L192</f>
        <v>0</v>
      </c>
      <c r="M177" s="160">
        <f t="shared" si="28"/>
        <v>0</v>
      </c>
      <c r="N177" s="160">
        <f t="shared" si="28"/>
        <v>0</v>
      </c>
      <c r="O177" s="160">
        <f t="shared" si="28"/>
        <v>0</v>
      </c>
    </row>
    <row r="178" spans="1:20" s="93" customFormat="1" ht="12.95" customHeight="1" x14ac:dyDescent="0.2">
      <c r="B178" s="93" t="s">
        <v>156</v>
      </c>
      <c r="K178" s="136">
        <f>+K210</f>
        <v>0</v>
      </c>
      <c r="L178" s="136">
        <f t="shared" ref="L178:O178" si="29">+L210</f>
        <v>0</v>
      </c>
      <c r="M178" s="136">
        <f t="shared" si="29"/>
        <v>0</v>
      </c>
      <c r="N178" s="136">
        <f t="shared" si="29"/>
        <v>0</v>
      </c>
      <c r="O178" s="136">
        <f t="shared" si="29"/>
        <v>0</v>
      </c>
    </row>
    <row r="179" spans="1:20" s="93" customFormat="1" ht="12.95" customHeight="1" x14ac:dyDescent="0.2">
      <c r="B179" s="93" t="s">
        <v>112</v>
      </c>
      <c r="K179" s="136">
        <f t="shared" ref="K179:O181" si="30">+K198</f>
        <v>0</v>
      </c>
      <c r="L179" s="136">
        <f t="shared" si="30"/>
        <v>0</v>
      </c>
      <c r="M179" s="136">
        <f t="shared" si="30"/>
        <v>0</v>
      </c>
      <c r="N179" s="136">
        <f t="shared" si="30"/>
        <v>0</v>
      </c>
      <c r="O179" s="136">
        <f t="shared" si="30"/>
        <v>0</v>
      </c>
    </row>
    <row r="180" spans="1:20" s="93" customFormat="1" ht="12.95" customHeight="1" x14ac:dyDescent="0.2">
      <c r="B180" s="93" t="s">
        <v>113</v>
      </c>
      <c r="K180" s="136">
        <f t="shared" si="30"/>
        <v>-5</v>
      </c>
      <c r="L180" s="136">
        <f t="shared" si="30"/>
        <v>-5</v>
      </c>
      <c r="M180" s="136">
        <f t="shared" si="30"/>
        <v>-5</v>
      </c>
      <c r="N180" s="136">
        <f t="shared" si="30"/>
        <v>-5</v>
      </c>
      <c r="O180" s="136">
        <f t="shared" si="3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si="30"/>
        <v>-9.3559137512628947</v>
      </c>
      <c r="L181" s="136">
        <f t="shared" si="30"/>
        <v>-10.263464741608358</v>
      </c>
      <c r="M181" s="136">
        <f t="shared" si="30"/>
        <v>-11.280694671156301</v>
      </c>
      <c r="N181" s="136">
        <f t="shared" si="30"/>
        <v>-12.422706569887971</v>
      </c>
      <c r="O181" s="136">
        <f t="shared" si="30"/>
        <v>-13.70689958375862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-14.355913751262895</v>
      </c>
      <c r="L182" s="257">
        <f>+SUM(L177:L181)</f>
        <v>-15.263464741608358</v>
      </c>
      <c r="M182" s="257">
        <f>+SUM(M177:M181)</f>
        <v>-16.280694671156301</v>
      </c>
      <c r="N182" s="257">
        <f>+SUM(N177:N181)</f>
        <v>-17.422706569887971</v>
      </c>
      <c r="O182" s="257">
        <f>+SUM(O177:O181)</f>
        <v>-18.70689958375862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171.88352468570795</v>
      </c>
      <c r="L184" s="155">
        <f>+L170+L174+L182</f>
        <v>188.70055255955435</v>
      </c>
      <c r="M184" s="155">
        <f>+M170+M174+M182</f>
        <v>207.54035496013375</v>
      </c>
      <c r="N184" s="155">
        <f>+N170+N174+N182</f>
        <v>228.68004506857537</v>
      </c>
      <c r="O184" s="155">
        <f>+O170+O174+O182</f>
        <v>252.4387458104307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326</v>
      </c>
    </row>
    <row r="195" spans="2:15" ht="12.95" customHeight="1" x14ac:dyDescent="0.2">
      <c r="B195" s="1" t="s">
        <v>87</v>
      </c>
      <c r="K195" s="160">
        <f>+K170+K174</f>
        <v>186.23943843697086</v>
      </c>
      <c r="L195" s="160">
        <f>+L170+L174</f>
        <v>203.9640173011627</v>
      </c>
      <c r="M195" s="160">
        <f>+M170+M174</f>
        <v>223.82104963129007</v>
      </c>
      <c r="N195" s="160">
        <f>+N170+N174</f>
        <v>246.10275163846333</v>
      </c>
      <c r="O195" s="160">
        <f>+O170+O174</f>
        <v>271.14564539418933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>
        <f>SUM(K195:K196)</f>
        <v>186.23943843697086</v>
      </c>
      <c r="L197" s="155">
        <f>SUM(L195:L196)</f>
        <v>203.9640173011627</v>
      </c>
      <c r="M197" s="155">
        <f>SUM(M195:M196)</f>
        <v>223.82104963129007</v>
      </c>
      <c r="N197" s="155">
        <f>SUM(N195:N196)</f>
        <v>246.10275163846333</v>
      </c>
      <c r="O197" s="155">
        <f>SUM(O195:O196)</f>
        <v>271.14564539418933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 t="shared" ref="L198:O198" si="31">+L268</f>
        <v>0</v>
      </c>
      <c r="M198" s="171">
        <f t="shared" si="31"/>
        <v>0</v>
      </c>
      <c r="N198" s="171">
        <f t="shared" si="31"/>
        <v>0</v>
      </c>
      <c r="O198" s="171">
        <f t="shared" si="31"/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 t="shared" ref="L199:O199" si="32">+L278</f>
        <v>-5</v>
      </c>
      <c r="M199" s="171">
        <f t="shared" si="32"/>
        <v>-5</v>
      </c>
      <c r="N199" s="171">
        <f t="shared" si="32"/>
        <v>-5</v>
      </c>
      <c r="O199" s="171">
        <f t="shared" si="32"/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>+K287</f>
        <v>-9.3559137512628947</v>
      </c>
      <c r="L200" s="172">
        <f t="shared" ref="L200:O200" si="33">+L287</f>
        <v>-10.263464741608358</v>
      </c>
      <c r="M200" s="172">
        <f t="shared" si="33"/>
        <v>-11.280694671156301</v>
      </c>
      <c r="N200" s="172">
        <f t="shared" si="33"/>
        <v>-12.422706569887971</v>
      </c>
      <c r="O200" s="172">
        <f t="shared" si="33"/>
        <v>-13.70689958375862</v>
      </c>
    </row>
    <row r="201" spans="2:15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94">
        <f>+SUM(K197:K200)</f>
        <v>171.88352468570795</v>
      </c>
      <c r="L201" s="94">
        <f>+SUM(L197:L200)</f>
        <v>188.70055255955435</v>
      </c>
      <c r="M201" s="94">
        <f>+SUM(M197:M200)</f>
        <v>207.54035496013375</v>
      </c>
      <c r="N201" s="94">
        <f>+SUM(N197:N200)</f>
        <v>228.68004506857537</v>
      </c>
      <c r="O201" s="94">
        <f>+SUM(O197:O200)</f>
        <v>252.4387458104307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>+K103</f>
        <v>885.16176340541722</v>
      </c>
      <c r="M203" s="160">
        <f>+L103</f>
        <v>1073.8623159649715</v>
      </c>
      <c r="N203" s="160">
        <f>+M103</f>
        <v>1281.4026709251052</v>
      </c>
      <c r="O203" s="160">
        <f>+N103</f>
        <v>1510.0827159936805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325</v>
      </c>
      <c r="H205" s="23"/>
      <c r="I205" s="23"/>
      <c r="J205" s="23"/>
      <c r="K205" s="137">
        <f>+K201</f>
        <v>171.88352468570795</v>
      </c>
      <c r="L205" s="137">
        <f>+L201</f>
        <v>188.70055255955435</v>
      </c>
      <c r="M205" s="137">
        <f>+M201</f>
        <v>207.54035496013375</v>
      </c>
      <c r="N205" s="137">
        <f>+N201</f>
        <v>228.68004506857537</v>
      </c>
      <c r="O205" s="137">
        <f>+O201</f>
        <v>252.4387458104307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>SUM(K203:K205)</f>
        <v>880.16176340541722</v>
      </c>
      <c r="L206" s="155">
        <f>SUM(L203:L205)</f>
        <v>1068.8623159649715</v>
      </c>
      <c r="M206" s="155">
        <f>SUM(M203:M205)</f>
        <v>1276.4026709251052</v>
      </c>
      <c r="N206" s="155">
        <f>SUM(N203:N205)</f>
        <v>1505.0827159936805</v>
      </c>
      <c r="O206" s="155">
        <f>SUM(O203:O205)</f>
        <v>1757.5214618041111</v>
      </c>
    </row>
    <row r="208" spans="2:15" s="21" customFormat="1" ht="12.95" customHeight="1" x14ac:dyDescent="0.2">
      <c r="B208" s="18" t="s">
        <v>154</v>
      </c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>+K218</f>
        <v>0</v>
      </c>
      <c r="L209" s="140">
        <f>+L218</f>
        <v>0</v>
      </c>
      <c r="M209" s="140">
        <f>+M218</f>
        <v>0</v>
      </c>
      <c r="N209" s="140">
        <f>+N218</f>
        <v>0</v>
      </c>
      <c r="O209" s="140">
        <f>+O218</f>
        <v>0</v>
      </c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>SUM(K209:K209)</f>
        <v>0</v>
      </c>
      <c r="L210" s="154">
        <f>SUM(L209:L209)</f>
        <v>0</v>
      </c>
      <c r="M210" s="154">
        <f>SUM(M209:M209)</f>
        <v>0</v>
      </c>
      <c r="N210" s="154">
        <f>SUM(N209:N209)</f>
        <v>0</v>
      </c>
      <c r="O210" s="154">
        <f>SUM(O209:O209)</f>
        <v>0</v>
      </c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>
        <f>+J121</f>
        <v>0</v>
      </c>
      <c r="L217" s="160">
        <f>+K219</f>
        <v>0</v>
      </c>
      <c r="M217" s="160">
        <f>+L219</f>
        <v>0</v>
      </c>
      <c r="N217" s="160">
        <f>+M219</f>
        <v>0</v>
      </c>
      <c r="O217" s="160">
        <f>+N219</f>
        <v>0</v>
      </c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>-MIN(K217,K206)</f>
        <v>0</v>
      </c>
      <c r="L218" s="140">
        <f>-MIN(L217,L206)</f>
        <v>0</v>
      </c>
      <c r="M218" s="140">
        <f>-MIN(M217,M206)</f>
        <v>0</v>
      </c>
      <c r="N218" s="140">
        <f>-MIN(N217,N206)</f>
        <v>0</v>
      </c>
      <c r="O218" s="140">
        <f>-MIN(O217,O206)</f>
        <v>0</v>
      </c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>SUM(K217:K218)</f>
        <v>0</v>
      </c>
      <c r="L219" s="147">
        <f>SUM(L217:L218)</f>
        <v>0</v>
      </c>
      <c r="M219" s="147">
        <f>SUM(M217:M218)</f>
        <v>0</v>
      </c>
      <c r="N219" s="147">
        <f>SUM(N217:N218)</f>
        <v>0</v>
      </c>
      <c r="O219" s="147">
        <f>SUM(O217:O218)</f>
        <v>0</v>
      </c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272"/>
      <c r="L221" s="272"/>
      <c r="M221" s="272"/>
      <c r="N221" s="272"/>
      <c r="O221" s="272"/>
      <c r="Q221" s="297" t="s">
        <v>172</v>
      </c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270"/>
      <c r="L222" s="270"/>
      <c r="M222" s="270"/>
      <c r="N222" s="270"/>
      <c r="O222" s="270"/>
      <c r="Q222" s="297" t="s">
        <v>173</v>
      </c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7" ht="12.95" customHeight="1" outlineLevel="1" x14ac:dyDescent="0.2"/>
    <row r="225" spans="1:17" ht="12.95" customHeight="1" outlineLevel="1" x14ac:dyDescent="0.2">
      <c r="B225" s="1" t="s">
        <v>98</v>
      </c>
      <c r="K225" s="259">
        <f>+IF(K219&gt;$I$221,1,0)</f>
        <v>0</v>
      </c>
      <c r="L225" s="259">
        <f>+IF(L219&gt;$I$221,1,0)</f>
        <v>0</v>
      </c>
      <c r="M225" s="259">
        <f>+IF(M219&gt;$I$221,1,0)</f>
        <v>0</v>
      </c>
      <c r="N225" s="259">
        <f>+IF(N219&gt;$I$221,1,0)</f>
        <v>0</v>
      </c>
      <c r="O225" s="259">
        <f>+IF(O219&gt;$I$221,1,0)</f>
        <v>0</v>
      </c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7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7" ht="12.95" customHeight="1" x14ac:dyDescent="0.2">
      <c r="B232" s="1" t="s">
        <v>96</v>
      </c>
      <c r="K232" s="270"/>
      <c r="L232" s="270"/>
      <c r="M232" s="270"/>
      <c r="N232" s="270"/>
      <c r="O232" s="270"/>
      <c r="Q232" s="297" t="s">
        <v>174</v>
      </c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270"/>
      <c r="L233" s="270"/>
      <c r="M233" s="270"/>
      <c r="N233" s="270"/>
      <c r="O233" s="270"/>
      <c r="Q233" s="297" t="s">
        <v>175</v>
      </c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413</v>
      </c>
      <c r="C240" s="93"/>
      <c r="D240" s="93"/>
      <c r="E240" s="93"/>
      <c r="F240" s="93"/>
      <c r="G240" s="93"/>
      <c r="H240" s="93"/>
      <c r="I240" s="93"/>
      <c r="J240" s="93"/>
      <c r="K240" s="281"/>
      <c r="L240" s="281"/>
      <c r="M240" s="281"/>
      <c r="N240" s="281"/>
      <c r="O240" s="281"/>
      <c r="Q240" s="1" t="s">
        <v>176</v>
      </c>
    </row>
    <row r="241" spans="1:17" s="21" customFormat="1" ht="12.95" customHeight="1" x14ac:dyDescent="0.2">
      <c r="B241" s="16" t="s">
        <v>414</v>
      </c>
      <c r="C241" s="16"/>
      <c r="D241" s="16"/>
      <c r="E241" s="16"/>
      <c r="F241" s="16"/>
      <c r="G241" s="16"/>
      <c r="H241" s="16"/>
      <c r="I241" s="16"/>
      <c r="J241" s="16"/>
      <c r="K241" s="298"/>
      <c r="L241" s="298"/>
      <c r="M241" s="298"/>
      <c r="N241" s="298"/>
      <c r="O241" s="298"/>
      <c r="Q241" s="1" t="s">
        <v>177</v>
      </c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1:17" ht="12.95" customHeight="1" x14ac:dyDescent="0.2">
      <c r="B243" s="1" t="s">
        <v>96</v>
      </c>
      <c r="K243" s="272"/>
      <c r="L243" s="272"/>
      <c r="M243" s="272"/>
      <c r="N243" s="272"/>
      <c r="O243" s="272"/>
      <c r="Q243" s="1" t="s">
        <v>178</v>
      </c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315"/>
      <c r="L244" s="315"/>
      <c r="M244" s="315"/>
      <c r="N244" s="315"/>
      <c r="O244" s="315"/>
      <c r="Q244" s="1" t="s">
        <v>179</v>
      </c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4">+H133</f>
        <v>1209.9228781500001</v>
      </c>
      <c r="I249" s="137">
        <f t="shared" si="34"/>
        <v>1288.5678652297499</v>
      </c>
      <c r="J249" s="136">
        <f t="shared" si="34"/>
        <v>1378.7676157958326</v>
      </c>
      <c r="K249" s="136">
        <f t="shared" si="34"/>
        <v>1478.7282679410305</v>
      </c>
      <c r="L249" s="137">
        <f t="shared" si="34"/>
        <v>1589.6328880366079</v>
      </c>
      <c r="M249" s="137">
        <f t="shared" si="34"/>
        <v>1712.8294368594452</v>
      </c>
      <c r="N249" s="137">
        <f t="shared" si="34"/>
        <v>1849.8557918082008</v>
      </c>
      <c r="O249" s="137">
        <f t="shared" si="34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4"/>
        <v>679.97665752030014</v>
      </c>
      <c r="I250" s="137">
        <f t="shared" si="34"/>
        <v>721.59800452866</v>
      </c>
      <c r="J250" s="136">
        <f t="shared" si="34"/>
        <v>769.35232961407462</v>
      </c>
      <c r="K250" s="136">
        <f t="shared" si="34"/>
        <v>822.17291697521307</v>
      </c>
      <c r="L250" s="137">
        <f t="shared" si="34"/>
        <v>880.65661997228085</v>
      </c>
      <c r="M250" s="137">
        <f t="shared" si="34"/>
        <v>945.48184914641388</v>
      </c>
      <c r="N250" s="137">
        <f t="shared" si="34"/>
        <v>1017.4206854945105</v>
      </c>
      <c r="O250" s="137">
        <f t="shared" si="34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4"/>
        <v>335.75359868662508</v>
      </c>
      <c r="I251" s="140">
        <f t="shared" si="34"/>
        <v>355.64473080341099</v>
      </c>
      <c r="J251" s="140">
        <f t="shared" si="34"/>
        <v>378.47171053595611</v>
      </c>
      <c r="K251" s="140">
        <f t="shared" si="34"/>
        <v>403.69281714790134</v>
      </c>
      <c r="L251" s="140">
        <f t="shared" si="34"/>
        <v>431.58532910193907</v>
      </c>
      <c r="M251" s="140">
        <f t="shared" si="34"/>
        <v>462.46394795205021</v>
      </c>
      <c r="N251" s="140">
        <f t="shared" si="34"/>
        <v>496.68628010050196</v>
      </c>
      <c r="O251" s="140">
        <f t="shared" si="34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>+K288</f>
        <v>871.95637425895563</v>
      </c>
      <c r="M285" s="178">
        <f>+L288</f>
        <v>1066.9622043495142</v>
      </c>
      <c r="N285" s="178">
        <f>+M288</f>
        <v>1281.295403101484</v>
      </c>
      <c r="O285" s="178">
        <f>+N288</f>
        <v>1517.3268279293554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5">+H73</f>
        <v>144.38336269074406</v>
      </c>
      <c r="I286" s="135">
        <f t="shared" si="35"/>
        <v>158.09058392211767</v>
      </c>
      <c r="J286" s="229">
        <f t="shared" si="35"/>
        <v>173.73619092811771</v>
      </c>
      <c r="K286" s="179">
        <f t="shared" si="35"/>
        <v>187.1182750252579</v>
      </c>
      <c r="L286" s="179">
        <f t="shared" si="35"/>
        <v>205.26929483216713</v>
      </c>
      <c r="M286" s="179">
        <f t="shared" si="35"/>
        <v>225.613893423126</v>
      </c>
      <c r="N286" s="179">
        <f t="shared" si="35"/>
        <v>248.4541313977594</v>
      </c>
      <c r="O286" s="179">
        <f t="shared" si="35"/>
        <v>274.13799167517237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>-K289*K286</f>
        <v>-9.3559137512628947</v>
      </c>
      <c r="L287" s="194">
        <f>-L289*L286</f>
        <v>-10.263464741608358</v>
      </c>
      <c r="M287" s="194">
        <f>-M289*M286</f>
        <v>-11.280694671156301</v>
      </c>
      <c r="N287" s="194">
        <f>-N289*N286</f>
        <v>-12.422706569887971</v>
      </c>
      <c r="O287" s="194">
        <f>-O289*O286</f>
        <v>-13.70689958375862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>SUM(K285:K287)</f>
        <v>871.95637425895563</v>
      </c>
      <c r="L288" s="181">
        <f>SUM(L285:L287)</f>
        <v>1066.9622043495142</v>
      </c>
      <c r="M288" s="181">
        <f>SUM(M285:M287)</f>
        <v>1281.295403101484</v>
      </c>
      <c r="N288" s="181">
        <f>SUM(N285:N287)</f>
        <v>1517.3268279293554</v>
      </c>
      <c r="O288" s="181">
        <f>SUM(O285:O287)</f>
        <v>1777.7579200207692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14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14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14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14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14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14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14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14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14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14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14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14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14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14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14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14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14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14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14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14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14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14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14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14ED-AF01-4D9E-81E8-8725F250A519}">
  <dimension ref="A2:X320"/>
  <sheetViews>
    <sheetView showGridLines="0" zoomScaleNormal="100" zoomScaleSheetLayoutView="85" workbookViewId="0"/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</row>
    <row r="11" spans="1:17" ht="12.95" customHeight="1" x14ac:dyDescent="0.2">
      <c r="B11" s="83" t="s">
        <v>332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333</v>
      </c>
      <c r="C13" s="89"/>
      <c r="D13" s="90">
        <v>3</v>
      </c>
    </row>
    <row r="16" spans="1:17" ht="12.95" customHeight="1" x14ac:dyDescent="0.2">
      <c r="B16" s="1" t="s">
        <v>7</v>
      </c>
      <c r="D16" s="12"/>
      <c r="Q16" s="143" t="s">
        <v>339</v>
      </c>
    </row>
    <row r="17" spans="1:17" ht="12.95" customHeight="1" x14ac:dyDescent="0.2">
      <c r="B17" s="1" t="s">
        <v>8</v>
      </c>
      <c r="D17" s="12"/>
      <c r="Q17" s="143" t="s">
        <v>340</v>
      </c>
    </row>
    <row r="18" spans="1:17" ht="12.95" customHeight="1" x14ac:dyDescent="0.2">
      <c r="B18" s="13" t="s">
        <v>9</v>
      </c>
      <c r="C18" s="14"/>
      <c r="D18" s="15"/>
      <c r="Q18" s="143" t="s">
        <v>306</v>
      </c>
    </row>
    <row r="19" spans="1:17" ht="12.95" customHeight="1" x14ac:dyDescent="0.2">
      <c r="Q19" s="1" t="s">
        <v>307</v>
      </c>
    </row>
    <row r="20" spans="1:17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7" ht="12.95" customHeight="1" x14ac:dyDescent="0.2">
      <c r="B21" s="25" t="s">
        <v>11</v>
      </c>
    </row>
    <row r="23" spans="1:17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7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7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7" ht="12.95" customHeight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</row>
    <row r="28" spans="1:17" s="25" customFormat="1" ht="12.95" customHeight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</row>
    <row r="29" spans="1:17" ht="12.95" customHeight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</row>
    <row r="30" spans="1:17" s="25" customFormat="1" ht="12.95" customHeight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</row>
    <row r="31" spans="1:17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7" ht="12.95" customHeight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</row>
    <row r="33" spans="2:15" ht="12.95" customHeight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</row>
    <row r="39" spans="2:15" ht="12.95" customHeight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</row>
    <row r="40" spans="2:15" ht="12.95" customHeight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</row>
    <row r="41" spans="2:15" ht="12.95" customHeight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</row>
    <row r="42" spans="2:15" ht="12.95" customHeight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</row>
    <row r="52" spans="1:16" ht="12.95" customHeight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5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ca="1" si="2"/>
        <v>258.37410700830594</v>
      </c>
      <c r="L71" s="134">
        <f t="shared" ca="1" si="2"/>
        <v>284.75067519161416</v>
      </c>
      <c r="M71" s="134">
        <f t="shared" ca="1" si="2"/>
        <v>314.28349047591439</v>
      </c>
      <c r="N71" s="134">
        <f t="shared" ca="1" si="2"/>
        <v>347.40378658925005</v>
      </c>
      <c r="O71" s="134">
        <f t="shared" ca="1" si="2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ca="1" si="3"/>
        <v>191.19683918614641</v>
      </c>
      <c r="L73" s="145">
        <f t="shared" ca="1" si="3"/>
        <v>210.71549964179448</v>
      </c>
      <c r="M73" s="145">
        <f t="shared" ca="1" si="3"/>
        <v>232.56978295217664</v>
      </c>
      <c r="N73" s="145">
        <f t="shared" ca="1" si="3"/>
        <v>257.07880207604501</v>
      </c>
      <c r="O73" s="145">
        <f t="shared" ca="1" si="3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ca="1" si="11"/>
        <v>0.10050092709384262</v>
      </c>
      <c r="L94" s="63">
        <f t="shared" ca="1" si="11"/>
        <v>0.10208673186613204</v>
      </c>
      <c r="M94" s="63">
        <f t="shared" ca="1" si="11"/>
        <v>0.10371464532762564</v>
      </c>
      <c r="N94" s="63">
        <f t="shared" ca="1" si="11"/>
        <v>0.10538350602884705</v>
      </c>
      <c r="O94" s="63">
        <f t="shared" ca="1" si="11"/>
        <v>0.10709216065073179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ca="1" si="14"/>
        <v>1213.4572274135542</v>
      </c>
      <c r="L107" s="147">
        <f t="shared" ca="1" si="14"/>
        <v>1431.0273834911868</v>
      </c>
      <c r="M107" s="147">
        <f t="shared" ca="1" si="14"/>
        <v>1671.4697333470026</v>
      </c>
      <c r="N107" s="147">
        <f t="shared" ca="1" si="14"/>
        <v>1937.5561081910107</v>
      </c>
      <c r="O107" s="147">
        <f t="shared" ca="1" si="14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ca="1" si="15"/>
        <v>1290.1857119358119</v>
      </c>
      <c r="L112" s="145">
        <f t="shared" ca="1" si="15"/>
        <v>1513.7816857053044</v>
      </c>
      <c r="M112" s="145">
        <f t="shared" ca="1" si="15"/>
        <v>1760.8647269508929</v>
      </c>
      <c r="N112" s="145">
        <f t="shared" ca="1" si="15"/>
        <v>2034.2820117846595</v>
      </c>
      <c r="O112" s="145">
        <f t="shared" ca="1" si="15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ca="1" si="17"/>
        <v>50</v>
      </c>
      <c r="L123" s="154">
        <f t="shared" ca="1" si="17"/>
        <v>50</v>
      </c>
      <c r="M123" s="154">
        <f t="shared" ca="1" si="17"/>
        <v>50</v>
      </c>
      <c r="N123" s="154">
        <f t="shared" ca="1" si="17"/>
        <v>50</v>
      </c>
      <c r="O123" s="154">
        <f t="shared" ca="1" si="1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18">+L288</f>
        <v>1076.0107348715044</v>
      </c>
      <c r="M127" s="136">
        <f t="shared" ca="1" si="18"/>
        <v>1296.9520286760721</v>
      </c>
      <c r="N127" s="136">
        <f t="shared" ca="1" si="18"/>
        <v>1541.1768906483151</v>
      </c>
      <c r="O127" s="136">
        <f t="shared" ca="1" si="18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ca="1" si="19"/>
        <v>1290.1857119358119</v>
      </c>
      <c r="L128" s="155">
        <f t="shared" ca="1" si="19"/>
        <v>1513.7816857053042</v>
      </c>
      <c r="M128" s="155">
        <f t="shared" ca="1" si="19"/>
        <v>1760.8647269508926</v>
      </c>
      <c r="N128" s="155">
        <f t="shared" ca="1" si="19"/>
        <v>2034.2820117846593</v>
      </c>
      <c r="O128" s="155">
        <f t="shared" ca="1" si="19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ca="1" si="20"/>
        <v>0</v>
      </c>
      <c r="L130" s="137">
        <f t="shared" ca="1" si="20"/>
        <v>0</v>
      </c>
      <c r="M130" s="137">
        <f t="shared" ca="1" si="20"/>
        <v>0</v>
      </c>
      <c r="N130" s="137">
        <f t="shared" ca="1" si="20"/>
        <v>0</v>
      </c>
      <c r="O130" s="137">
        <f t="shared" ca="1" si="20"/>
        <v>0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ca="1" si="24"/>
        <v>111.80834588935704</v>
      </c>
      <c r="L148" s="17">
        <f t="shared" ca="1" si="24"/>
        <v>120.14212366795709</v>
      </c>
      <c r="M148" s="17">
        <f t="shared" ca="1" si="24"/>
        <v>129.39727185648201</v>
      </c>
      <c r="N148" s="17">
        <f t="shared" ca="1" si="24"/>
        <v>139.68871789759919</v>
      </c>
      <c r="O148" s="17">
        <f t="shared" ca="1" si="24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ca="1" si="25"/>
        <v>7.5611150684931516E-2</v>
      </c>
      <c r="L149" s="76">
        <f t="shared" ca="1" si="25"/>
        <v>7.5578534246575249E-2</v>
      </c>
      <c r="M149" s="76">
        <f t="shared" ca="1" si="25"/>
        <v>7.554591780821919E-2</v>
      </c>
      <c r="N149" s="76">
        <f t="shared" ca="1" si="25"/>
        <v>7.5513301369862992E-2</v>
      </c>
      <c r="O149" s="76">
        <f t="shared" ca="1" si="25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28">+L192</f>
        <v>0</v>
      </c>
      <c r="M177" s="160">
        <f t="shared" si="28"/>
        <v>0</v>
      </c>
      <c r="N177" s="160">
        <f t="shared" si="28"/>
        <v>0</v>
      </c>
      <c r="O177" s="160">
        <f t="shared" si="28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29">+L210</f>
        <v>0</v>
      </c>
      <c r="M178" s="136">
        <f t="shared" ca="1" si="29"/>
        <v>0</v>
      </c>
      <c r="N178" s="136">
        <f t="shared" ca="1" si="29"/>
        <v>0</v>
      </c>
      <c r="O178" s="136">
        <f t="shared" ca="1" si="29"/>
        <v>0</v>
      </c>
    </row>
    <row r="179" spans="1:20" s="93" customFormat="1" ht="12.95" customHeight="1" x14ac:dyDescent="0.2">
      <c r="B179" s="93" t="s">
        <v>112</v>
      </c>
      <c r="K179" s="136">
        <f t="shared" ref="K179:O181" si="30">+K198</f>
        <v>0</v>
      </c>
      <c r="L179" s="136">
        <f t="shared" si="30"/>
        <v>0</v>
      </c>
      <c r="M179" s="136">
        <f t="shared" si="30"/>
        <v>0</v>
      </c>
      <c r="N179" s="136">
        <f t="shared" si="30"/>
        <v>0</v>
      </c>
      <c r="O179" s="136">
        <f t="shared" si="30"/>
        <v>0</v>
      </c>
    </row>
    <row r="180" spans="1:20" s="93" customFormat="1" ht="12.95" customHeight="1" x14ac:dyDescent="0.2">
      <c r="B180" s="93" t="s">
        <v>113</v>
      </c>
      <c r="K180" s="136">
        <f t="shared" si="30"/>
        <v>-5</v>
      </c>
      <c r="L180" s="136">
        <f t="shared" si="30"/>
        <v>-5</v>
      </c>
      <c r="M180" s="136">
        <f t="shared" si="30"/>
        <v>-5</v>
      </c>
      <c r="N180" s="136">
        <f t="shared" si="30"/>
        <v>-5</v>
      </c>
      <c r="O180" s="136">
        <f t="shared" si="3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30"/>
        <v>-9.5598419593073203</v>
      </c>
      <c r="L181" s="136">
        <f t="shared" ca="1" si="30"/>
        <v>-10.535774982089725</v>
      </c>
      <c r="M181" s="136">
        <f t="shared" ca="1" si="30"/>
        <v>-11.628489147608832</v>
      </c>
      <c r="N181" s="136">
        <f t="shared" ca="1" si="30"/>
        <v>-12.853940103802252</v>
      </c>
      <c r="O181" s="136">
        <f t="shared" ca="1" si="30"/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326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325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customHeight="1" outlineLevel="1" x14ac:dyDescent="0.2"/>
    <row r="225" spans="1:15" ht="12.95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customHeight="1" outlineLevel="1" x14ac:dyDescent="0.2"/>
    <row r="248" spans="1:15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customHeight="1" outlineLevel="1" x14ac:dyDescent="0.2">
      <c r="B249" s="1" t="str">
        <f>+B133</f>
        <v>Revenue</v>
      </c>
      <c r="H249" s="137">
        <f t="shared" ref="H249:O251" si="31">+H133</f>
        <v>1209.9228781500001</v>
      </c>
      <c r="I249" s="137">
        <f t="shared" si="31"/>
        <v>1288.5678652297499</v>
      </c>
      <c r="J249" s="136">
        <f t="shared" si="31"/>
        <v>1378.7676157958326</v>
      </c>
      <c r="K249" s="136">
        <f t="shared" si="31"/>
        <v>1478.7282679410305</v>
      </c>
      <c r="L249" s="137">
        <f t="shared" si="31"/>
        <v>1589.6328880366079</v>
      </c>
      <c r="M249" s="137">
        <f t="shared" si="31"/>
        <v>1712.8294368594452</v>
      </c>
      <c r="N249" s="137">
        <f t="shared" si="31"/>
        <v>1849.8557918082008</v>
      </c>
      <c r="O249" s="137">
        <f t="shared" si="31"/>
        <v>2002.4688946323774</v>
      </c>
    </row>
    <row r="250" spans="1:15" ht="12.95" customHeight="1" outlineLevel="1" x14ac:dyDescent="0.2">
      <c r="B250" s="1" t="str">
        <f>+B134</f>
        <v>Cost of Goods Sold (Cost of Sales)</v>
      </c>
      <c r="H250" s="137">
        <f t="shared" si="31"/>
        <v>679.97665752030014</v>
      </c>
      <c r="I250" s="137">
        <f t="shared" si="31"/>
        <v>721.59800452866</v>
      </c>
      <c r="J250" s="136">
        <f t="shared" si="31"/>
        <v>769.35232961407462</v>
      </c>
      <c r="K250" s="136">
        <f t="shared" si="31"/>
        <v>822.17291697521307</v>
      </c>
      <c r="L250" s="137">
        <f t="shared" si="31"/>
        <v>880.65661997228085</v>
      </c>
      <c r="M250" s="137">
        <f t="shared" si="31"/>
        <v>945.48184914641388</v>
      </c>
      <c r="N250" s="137">
        <f t="shared" si="31"/>
        <v>1017.4206854945105</v>
      </c>
      <c r="O250" s="137">
        <f t="shared" si="31"/>
        <v>1097.3529542585429</v>
      </c>
    </row>
    <row r="251" spans="1:15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1"/>
        <v>335.75359868662508</v>
      </c>
      <c r="I251" s="140">
        <f t="shared" si="31"/>
        <v>355.64473080341099</v>
      </c>
      <c r="J251" s="140">
        <f t="shared" si="31"/>
        <v>378.47171053595611</v>
      </c>
      <c r="K251" s="140">
        <f t="shared" si="31"/>
        <v>403.69281714790134</v>
      </c>
      <c r="L251" s="140">
        <f t="shared" si="31"/>
        <v>431.58532910193907</v>
      </c>
      <c r="M251" s="140">
        <f t="shared" si="31"/>
        <v>462.46394795205021</v>
      </c>
      <c r="N251" s="140">
        <f t="shared" si="31"/>
        <v>496.68628010050196</v>
      </c>
      <c r="O251" s="140">
        <f t="shared" si="31"/>
        <v>534.65919486684481</v>
      </c>
    </row>
    <row r="252" spans="1:15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2">+H73</f>
        <v>144.38336269074406</v>
      </c>
      <c r="I286" s="135">
        <f t="shared" si="32"/>
        <v>158.09058392211767</v>
      </c>
      <c r="J286" s="229">
        <f t="shared" si="32"/>
        <v>173.73619092811771</v>
      </c>
      <c r="K286" s="179">
        <f t="shared" ca="1" si="32"/>
        <v>191.19683918614641</v>
      </c>
      <c r="L286" s="179">
        <f t="shared" ca="1" si="32"/>
        <v>210.71549964179448</v>
      </c>
      <c r="M286" s="179">
        <f t="shared" ca="1" si="32"/>
        <v>232.56978295217664</v>
      </c>
      <c r="N286" s="179">
        <f t="shared" ca="1" si="32"/>
        <v>257.07880207604501</v>
      </c>
      <c r="O286" s="179">
        <f t="shared" ca="1" si="32"/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/>
      <c r="I295" s="17"/>
      <c r="J295" s="213"/>
      <c r="K295" s="17"/>
      <c r="L295" s="17"/>
      <c r="M295" s="17"/>
      <c r="N295" s="17"/>
      <c r="O295" s="17"/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23"/>
      <c r="L298" s="23"/>
      <c r="M298" s="23"/>
      <c r="N298" s="23"/>
      <c r="O298" s="23"/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11"/>
      <c r="L299" s="111"/>
      <c r="M299" s="111"/>
      <c r="N299" s="111"/>
      <c r="O299" s="111"/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187"/>
      <c r="L300" s="187"/>
      <c r="M300" s="187"/>
      <c r="N300" s="187"/>
      <c r="O300" s="187"/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/>
      <c r="L302" s="111"/>
      <c r="M302" s="111"/>
      <c r="N302" s="111"/>
      <c r="O302" s="111"/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/>
      <c r="L303" s="111"/>
      <c r="M303" s="111"/>
      <c r="N303" s="111"/>
      <c r="O303" s="111"/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/>
      <c r="L304" s="184"/>
      <c r="M304" s="184"/>
      <c r="N304" s="184"/>
      <c r="O304" s="184"/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11"/>
      <c r="L306" s="111"/>
      <c r="M306" s="111"/>
      <c r="N306" s="111"/>
      <c r="O306" s="111"/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11"/>
      <c r="L307" s="111"/>
      <c r="M307" s="111"/>
      <c r="N307" s="111"/>
      <c r="O307" s="111"/>
      <c r="Q307"/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187"/>
      <c r="L308" s="187"/>
      <c r="M308" s="187"/>
      <c r="N308" s="187"/>
      <c r="O308" s="187"/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185"/>
      <c r="M311" s="185"/>
      <c r="N311" s="185"/>
      <c r="O311" s="185"/>
      <c r="Q311"/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186"/>
      <c r="L312" s="186"/>
      <c r="M312" s="186"/>
      <c r="N312" s="186"/>
      <c r="O312" s="186"/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/>
      <c r="L315" s="111"/>
      <c r="M315" s="111"/>
      <c r="N315" s="111"/>
      <c r="O315" s="111"/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/>
      <c r="L316" s="77"/>
      <c r="M316" s="77"/>
      <c r="N316" s="77"/>
      <c r="O316" s="77"/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/>
      <c r="L317" s="189"/>
      <c r="M317" s="189"/>
      <c r="N317" s="189"/>
      <c r="O317" s="189"/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H319" s="251"/>
      <c r="I319" s="251"/>
      <c r="J319" s="251"/>
      <c r="Q319"/>
      <c r="R319"/>
      <c r="S319"/>
      <c r="T319"/>
    </row>
    <row r="320" spans="2:23" ht="12.95" customHeight="1" x14ac:dyDescent="0.2">
      <c r="H320" s="23"/>
      <c r="I320" s="23"/>
      <c r="J320" s="2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2AF0-FF93-4A23-901D-98EA59EF8CBF}">
  <dimension ref="A2:Z320"/>
  <sheetViews>
    <sheetView showGridLines="0" topLeftCell="A284" zoomScaleNormal="100" zoomScaleSheetLayoutView="85" workbookViewId="0">
      <selection activeCell="I300" sqref="I300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 customWidth="1" outlineLevel="1"/>
    <col min="20" max="20" width="22" style="1" customWidth="1" outlineLevel="1"/>
    <col min="21" max="26" width="9.140625" style="1" customWidth="1" outlineLevel="1"/>
    <col min="27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>
        <f ca="1">+IF(SUM(H130:O130)=0,0,1)</f>
        <v>0</v>
      </c>
    </row>
    <row r="17" spans="1:18" ht="12.95" customHeight="1" x14ac:dyDescent="0.2">
      <c r="B17" s="1" t="s">
        <v>8</v>
      </c>
      <c r="D17" s="259">
        <f ca="1">+IF(SUM(K225:O225)=0,0,1)</f>
        <v>0</v>
      </c>
    </row>
    <row r="18" spans="1:18" ht="12.95" customHeight="1" x14ac:dyDescent="0.2">
      <c r="B18" s="13" t="s">
        <v>9</v>
      </c>
      <c r="C18" s="14"/>
      <c r="D18" s="262">
        <f ca="1">SUM(D16:D17)</f>
        <v>0</v>
      </c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ca="1" si="2"/>
        <v>258.37410700830594</v>
      </c>
      <c r="L71" s="134">
        <f t="shared" ca="1" si="2"/>
        <v>284.75067519161416</v>
      </c>
      <c r="M71" s="134">
        <f t="shared" ca="1" si="2"/>
        <v>314.28349047591439</v>
      </c>
      <c r="N71" s="134">
        <f t="shared" ca="1" si="2"/>
        <v>347.40378658925005</v>
      </c>
      <c r="O71" s="134">
        <f t="shared" ca="1" si="2"/>
        <v>384.60800871333856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ca="1" si="3"/>
        <v>191.19683918614641</v>
      </c>
      <c r="L73" s="145">
        <f t="shared" ca="1" si="3"/>
        <v>210.71549964179448</v>
      </c>
      <c r="M73" s="145">
        <f t="shared" ca="1" si="3"/>
        <v>232.56978295217664</v>
      </c>
      <c r="N73" s="145">
        <f t="shared" ca="1" si="3"/>
        <v>257.07880207604501</v>
      </c>
      <c r="O73" s="145">
        <f t="shared" ca="1" si="3"/>
        <v>284.60992644787052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302"/>
      <c r="L75" s="302"/>
      <c r="M75" s="302"/>
      <c r="N75" s="302"/>
      <c r="O75" s="302"/>
      <c r="Q75" s="81" t="s">
        <v>279</v>
      </c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303"/>
      <c r="L76" s="303"/>
      <c r="M76" s="303"/>
      <c r="N76" s="303"/>
      <c r="O76" s="303"/>
      <c r="Q76" s="81" t="s">
        <v>280</v>
      </c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302"/>
      <c r="L78" s="302"/>
      <c r="M78" s="302"/>
      <c r="N78" s="302"/>
      <c r="O78" s="302"/>
      <c r="Q78" s="81" t="s">
        <v>281</v>
      </c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303"/>
      <c r="L79" s="303"/>
      <c r="M79" s="303"/>
      <c r="N79" s="303"/>
      <c r="O79" s="303"/>
      <c r="Q79" s="81" t="s">
        <v>282</v>
      </c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ca="1" si="11"/>
        <v>0.10050092709384262</v>
      </c>
      <c r="L94" s="63">
        <f t="shared" ca="1" si="11"/>
        <v>0.10208673186613204</v>
      </c>
      <c r="M94" s="63">
        <f t="shared" ca="1" si="11"/>
        <v>0.10371464532762564</v>
      </c>
      <c r="N94" s="63">
        <f t="shared" ca="1" si="11"/>
        <v>0.10538350602884705</v>
      </c>
      <c r="O94" s="63">
        <f t="shared" ca="1" si="11"/>
        <v>0.10709216065073179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ca="1" si="14"/>
        <v>1213.4572274135542</v>
      </c>
      <c r="L107" s="147">
        <f t="shared" ca="1" si="14"/>
        <v>1431.0273834911868</v>
      </c>
      <c r="M107" s="147">
        <f t="shared" ca="1" si="14"/>
        <v>1671.4697333470026</v>
      </c>
      <c r="N107" s="147">
        <f t="shared" ca="1" si="14"/>
        <v>1937.5561081910107</v>
      </c>
      <c r="O107" s="147">
        <f t="shared" ca="1" si="14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ca="1" si="15"/>
        <v>1290.1857119358119</v>
      </c>
      <c r="L112" s="145">
        <f t="shared" ca="1" si="15"/>
        <v>1513.7816857053044</v>
      </c>
      <c r="M112" s="145">
        <f t="shared" ca="1" si="15"/>
        <v>1760.8647269508929</v>
      </c>
      <c r="N112" s="145">
        <f t="shared" ca="1" si="15"/>
        <v>2034.2820117846595</v>
      </c>
      <c r="O112" s="145">
        <f t="shared" ca="1" si="15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ca="1" si="17"/>
        <v>50</v>
      </c>
      <c r="L123" s="154">
        <f t="shared" ca="1" si="17"/>
        <v>50</v>
      </c>
      <c r="M123" s="154">
        <f t="shared" ca="1" si="17"/>
        <v>50</v>
      </c>
      <c r="N123" s="154">
        <f t="shared" ca="1" si="17"/>
        <v>50</v>
      </c>
      <c r="O123" s="154">
        <f t="shared" ca="1" si="1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18">+L288</f>
        <v>1076.0107348715044</v>
      </c>
      <c r="M127" s="136">
        <f t="shared" ca="1" si="18"/>
        <v>1296.9520286760721</v>
      </c>
      <c r="N127" s="136">
        <f t="shared" ca="1" si="18"/>
        <v>1541.1768906483151</v>
      </c>
      <c r="O127" s="136">
        <f t="shared" ca="1" si="18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ca="1" si="19"/>
        <v>1290.1857119358119</v>
      </c>
      <c r="L128" s="155">
        <f t="shared" ca="1" si="19"/>
        <v>1513.7816857053042</v>
      </c>
      <c r="M128" s="155">
        <f t="shared" ca="1" si="19"/>
        <v>1760.8647269508926</v>
      </c>
      <c r="N128" s="155">
        <f t="shared" ca="1" si="19"/>
        <v>2034.2820117846593</v>
      </c>
      <c r="O128" s="155">
        <f t="shared" ca="1" si="19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ca="1" si="20"/>
        <v>0</v>
      </c>
      <c r="L130" s="137">
        <f t="shared" ca="1" si="20"/>
        <v>0</v>
      </c>
      <c r="M130" s="137">
        <f t="shared" ca="1" si="20"/>
        <v>0</v>
      </c>
      <c r="N130" s="137">
        <f t="shared" ca="1" si="20"/>
        <v>0</v>
      </c>
      <c r="O130" s="137">
        <f t="shared" ca="1" si="20"/>
        <v>0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ca="1" si="24"/>
        <v>111.80834588935704</v>
      </c>
      <c r="L148" s="17">
        <f t="shared" ca="1" si="24"/>
        <v>120.14212366795709</v>
      </c>
      <c r="M148" s="17">
        <f t="shared" ca="1" si="24"/>
        <v>129.39727185648201</v>
      </c>
      <c r="N148" s="17">
        <f t="shared" ca="1" si="24"/>
        <v>139.68871789759919</v>
      </c>
      <c r="O148" s="17">
        <f t="shared" ca="1" si="24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ca="1" si="25"/>
        <v>7.5611150684931516E-2</v>
      </c>
      <c r="L149" s="76">
        <f t="shared" ca="1" si="25"/>
        <v>7.5578534246575249E-2</v>
      </c>
      <c r="M149" s="76">
        <f t="shared" ca="1" si="25"/>
        <v>7.554591780821919E-2</v>
      </c>
      <c r="N149" s="76">
        <f t="shared" ca="1" si="25"/>
        <v>7.5513301369862992E-2</v>
      </c>
      <c r="O149" s="76">
        <f t="shared" ca="1" si="25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28">+L192</f>
        <v>0</v>
      </c>
      <c r="M177" s="160">
        <f t="shared" si="28"/>
        <v>0</v>
      </c>
      <c r="N177" s="160">
        <f t="shared" si="28"/>
        <v>0</v>
      </c>
      <c r="O177" s="160">
        <f t="shared" si="28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29">+L210</f>
        <v>0</v>
      </c>
      <c r="M178" s="136">
        <f t="shared" ca="1" si="29"/>
        <v>0</v>
      </c>
      <c r="N178" s="136">
        <f t="shared" ca="1" si="29"/>
        <v>0</v>
      </c>
      <c r="O178" s="136">
        <f t="shared" ca="1" si="29"/>
        <v>0</v>
      </c>
    </row>
    <row r="179" spans="1:20" s="93" customFormat="1" ht="12.95" customHeight="1" x14ac:dyDescent="0.2">
      <c r="B179" s="93" t="s">
        <v>112</v>
      </c>
      <c r="K179" s="136">
        <f t="shared" ref="K179:O181" si="30">+K198</f>
        <v>0</v>
      </c>
      <c r="L179" s="136">
        <f t="shared" si="30"/>
        <v>0</v>
      </c>
      <c r="M179" s="136">
        <f t="shared" si="30"/>
        <v>0</v>
      </c>
      <c r="N179" s="136">
        <f t="shared" si="30"/>
        <v>0</v>
      </c>
      <c r="O179" s="136">
        <f t="shared" si="30"/>
        <v>0</v>
      </c>
    </row>
    <row r="180" spans="1:20" s="93" customFormat="1" ht="12.95" customHeight="1" x14ac:dyDescent="0.2">
      <c r="B180" s="93" t="s">
        <v>113</v>
      </c>
      <c r="K180" s="136">
        <f t="shared" si="30"/>
        <v>-5</v>
      </c>
      <c r="L180" s="136">
        <f t="shared" si="30"/>
        <v>-5</v>
      </c>
      <c r="M180" s="136">
        <f t="shared" si="30"/>
        <v>-5</v>
      </c>
      <c r="N180" s="136">
        <f t="shared" si="30"/>
        <v>-5</v>
      </c>
      <c r="O180" s="136">
        <f t="shared" si="3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30"/>
        <v>-9.5598419593073203</v>
      </c>
      <c r="L181" s="136">
        <f t="shared" ca="1" si="30"/>
        <v>-10.535774982089725</v>
      </c>
      <c r="M181" s="136">
        <f t="shared" ca="1" si="30"/>
        <v>-11.628489147608832</v>
      </c>
      <c r="N181" s="136">
        <f t="shared" ca="1" si="30"/>
        <v>-12.853940103802252</v>
      </c>
      <c r="O181" s="136">
        <f t="shared" ca="1" si="30"/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326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325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customHeight="1" outlineLevel="1" x14ac:dyDescent="0.2"/>
    <row r="225" spans="1:15" ht="12.95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customHeight="1" outlineLevel="1" x14ac:dyDescent="0.2"/>
    <row r="248" spans="1:15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customHeight="1" outlineLevel="1" x14ac:dyDescent="0.2">
      <c r="B249" s="1" t="str">
        <f>+B133</f>
        <v>Revenue</v>
      </c>
      <c r="H249" s="137">
        <f t="shared" ref="H249:O251" si="31">+H133</f>
        <v>1209.9228781500001</v>
      </c>
      <c r="I249" s="137">
        <f t="shared" si="31"/>
        <v>1288.5678652297499</v>
      </c>
      <c r="J249" s="136">
        <f t="shared" si="31"/>
        <v>1378.7676157958326</v>
      </c>
      <c r="K249" s="136">
        <f t="shared" si="31"/>
        <v>1478.7282679410305</v>
      </c>
      <c r="L249" s="137">
        <f t="shared" si="31"/>
        <v>1589.6328880366079</v>
      </c>
      <c r="M249" s="137">
        <f t="shared" si="31"/>
        <v>1712.8294368594452</v>
      </c>
      <c r="N249" s="137">
        <f t="shared" si="31"/>
        <v>1849.8557918082008</v>
      </c>
      <c r="O249" s="137">
        <f t="shared" si="31"/>
        <v>2002.4688946323774</v>
      </c>
    </row>
    <row r="250" spans="1:15" ht="12.95" customHeight="1" outlineLevel="1" x14ac:dyDescent="0.2">
      <c r="B250" s="1" t="str">
        <f>+B134</f>
        <v>Cost of Goods Sold (Cost of Sales)</v>
      </c>
      <c r="H250" s="137">
        <f t="shared" si="31"/>
        <v>679.97665752030014</v>
      </c>
      <c r="I250" s="137">
        <f t="shared" si="31"/>
        <v>721.59800452866</v>
      </c>
      <c r="J250" s="136">
        <f t="shared" si="31"/>
        <v>769.35232961407462</v>
      </c>
      <c r="K250" s="136">
        <f t="shared" si="31"/>
        <v>822.17291697521307</v>
      </c>
      <c r="L250" s="137">
        <f t="shared" si="31"/>
        <v>880.65661997228085</v>
      </c>
      <c r="M250" s="137">
        <f t="shared" si="31"/>
        <v>945.48184914641388</v>
      </c>
      <c r="N250" s="137">
        <f t="shared" si="31"/>
        <v>1017.4206854945105</v>
      </c>
      <c r="O250" s="137">
        <f t="shared" si="31"/>
        <v>1097.3529542585429</v>
      </c>
    </row>
    <row r="251" spans="1:15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1"/>
        <v>335.75359868662508</v>
      </c>
      <c r="I251" s="140">
        <f t="shared" si="31"/>
        <v>355.64473080341099</v>
      </c>
      <c r="J251" s="140">
        <f t="shared" si="31"/>
        <v>378.47171053595611</v>
      </c>
      <c r="K251" s="140">
        <f t="shared" si="31"/>
        <v>403.69281714790134</v>
      </c>
      <c r="L251" s="140">
        <f t="shared" si="31"/>
        <v>431.58532910193907</v>
      </c>
      <c r="M251" s="140">
        <f t="shared" si="31"/>
        <v>462.46394795205021</v>
      </c>
      <c r="N251" s="140">
        <f t="shared" si="31"/>
        <v>496.68628010050196</v>
      </c>
      <c r="O251" s="140">
        <f t="shared" si="31"/>
        <v>534.65919486684481</v>
      </c>
    </row>
    <row r="252" spans="1:15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2">+H73</f>
        <v>144.38336269074406</v>
      </c>
      <c r="I286" s="135">
        <f t="shared" si="32"/>
        <v>158.09058392211767</v>
      </c>
      <c r="J286" s="229">
        <f t="shared" si="32"/>
        <v>173.73619092811771</v>
      </c>
      <c r="K286" s="179">
        <f t="shared" ca="1" si="32"/>
        <v>191.19683918614641</v>
      </c>
      <c r="L286" s="179">
        <f t="shared" ca="1" si="32"/>
        <v>210.71549964179448</v>
      </c>
      <c r="M286" s="179">
        <f t="shared" ca="1" si="32"/>
        <v>232.56978295217664</v>
      </c>
      <c r="N286" s="179">
        <f t="shared" ca="1" si="32"/>
        <v>257.07880207604501</v>
      </c>
      <c r="O286" s="179">
        <f t="shared" ca="1" si="32"/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6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6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6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6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6" ht="12.95" customHeight="1" x14ac:dyDescent="0.2">
      <c r="B295" s="1" t="s">
        <v>39</v>
      </c>
      <c r="H295" s="270"/>
      <c r="I295" s="270"/>
      <c r="J295" s="304"/>
      <c r="K295" s="270"/>
      <c r="L295" s="270"/>
      <c r="M295" s="270"/>
      <c r="N295" s="270"/>
      <c r="O295" s="270"/>
      <c r="Q295" s="81" t="s">
        <v>237</v>
      </c>
    </row>
    <row r="296" spans="1:26" ht="12.95" customHeight="1" x14ac:dyDescent="0.25">
      <c r="J296" s="192"/>
      <c r="Q296" s="143"/>
      <c r="R296"/>
      <c r="S296"/>
      <c r="T296"/>
    </row>
    <row r="297" spans="1:26" ht="12.95" customHeight="1" x14ac:dyDescent="0.25">
      <c r="B297" s="255" t="s">
        <v>158</v>
      </c>
      <c r="J297" s="192"/>
      <c r="Q297" s="143"/>
      <c r="R297"/>
      <c r="S297"/>
      <c r="T297"/>
    </row>
    <row r="298" spans="1:26" ht="12.95" customHeight="1" x14ac:dyDescent="0.25">
      <c r="B298" s="1" t="s">
        <v>140</v>
      </c>
      <c r="H298" s="305"/>
      <c r="I298" s="305"/>
      <c r="J298" s="306"/>
      <c r="K298" s="272"/>
      <c r="L298" s="272"/>
      <c r="M298" s="272"/>
      <c r="N298" s="272"/>
      <c r="O298" s="272"/>
      <c r="Q298" s="81" t="s">
        <v>266</v>
      </c>
      <c r="R298"/>
      <c r="S298"/>
      <c r="T298"/>
      <c r="U298" s="23"/>
      <c r="V298" s="23"/>
      <c r="W298"/>
      <c r="Z298" s="81" t="s">
        <v>276</v>
      </c>
    </row>
    <row r="299" spans="1:26" ht="12.95" customHeight="1" x14ac:dyDescent="0.25">
      <c r="B299" s="93" t="s">
        <v>141</v>
      </c>
      <c r="C299" s="93"/>
      <c r="D299" s="93"/>
      <c r="E299" s="93"/>
      <c r="F299" s="93"/>
      <c r="G299" s="93"/>
      <c r="H299" s="300"/>
      <c r="I299" s="300"/>
      <c r="J299" s="307"/>
      <c r="K299" s="300"/>
      <c r="L299" s="300"/>
      <c r="M299" s="300"/>
      <c r="N299" s="300"/>
      <c r="O299" s="300"/>
      <c r="Q299" s="81" t="s">
        <v>327</v>
      </c>
      <c r="R299"/>
      <c r="S299"/>
      <c r="T299"/>
      <c r="U299" s="23"/>
      <c r="V299" s="23"/>
      <c r="W299"/>
      <c r="Z299" s="81" t="s">
        <v>277</v>
      </c>
    </row>
    <row r="300" spans="1:26" ht="12.95" customHeight="1" x14ac:dyDescent="0.25">
      <c r="B300" s="183" t="s">
        <v>107</v>
      </c>
      <c r="C300" s="183"/>
      <c r="D300" s="183"/>
      <c r="E300" s="183"/>
      <c r="F300" s="183"/>
      <c r="G300" s="183"/>
      <c r="H300" s="308"/>
      <c r="I300" s="308"/>
      <c r="J300" s="309"/>
      <c r="K300" s="308"/>
      <c r="L300" s="308"/>
      <c r="M300" s="308"/>
      <c r="N300" s="308"/>
      <c r="O300" s="308"/>
      <c r="Q300" s="81" t="s">
        <v>267</v>
      </c>
      <c r="R300"/>
      <c r="S300"/>
      <c r="T300"/>
      <c r="U300" s="23"/>
      <c r="V300" s="23"/>
      <c r="W300"/>
      <c r="Z300" s="81" t="s">
        <v>278</v>
      </c>
    </row>
    <row r="301" spans="1:26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 s="143"/>
      <c r="R301"/>
      <c r="S301"/>
      <c r="T301"/>
      <c r="U301" s="23"/>
      <c r="V301" s="23"/>
      <c r="W301"/>
    </row>
    <row r="302" spans="1:26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300"/>
      <c r="L302" s="300"/>
      <c r="M302" s="300"/>
      <c r="N302" s="300"/>
      <c r="O302" s="300"/>
      <c r="Q302" s="81" t="s">
        <v>371</v>
      </c>
      <c r="R302"/>
      <c r="S302"/>
      <c r="T302"/>
      <c r="U302" s="23"/>
      <c r="V302" s="23"/>
      <c r="W302"/>
    </row>
    <row r="303" spans="1:26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300"/>
      <c r="L303" s="300"/>
      <c r="M303" s="300"/>
      <c r="N303" s="300"/>
      <c r="O303" s="300"/>
      <c r="Q303" s="81" t="s">
        <v>265</v>
      </c>
      <c r="R303"/>
      <c r="S303"/>
      <c r="T303"/>
      <c r="U303" s="23"/>
      <c r="V303" s="23"/>
      <c r="W303"/>
    </row>
    <row r="304" spans="1:26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310"/>
      <c r="L304" s="310"/>
      <c r="M304" s="310"/>
      <c r="N304" s="310"/>
      <c r="O304" s="310"/>
      <c r="Q304" s="81" t="s">
        <v>268</v>
      </c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154"/>
      <c r="I305" s="154"/>
      <c r="J305" s="448"/>
      <c r="K305"/>
      <c r="L305"/>
      <c r="M305"/>
      <c r="N305"/>
      <c r="O305"/>
      <c r="Q305" s="81"/>
      <c r="R305"/>
      <c r="S305"/>
      <c r="T305"/>
      <c r="U305" s="23"/>
      <c r="V305" s="23"/>
      <c r="W305"/>
    </row>
    <row r="306" spans="2:23" ht="12.95" customHeight="1" x14ac:dyDescent="0.25">
      <c r="B306" s="93" t="s">
        <v>108</v>
      </c>
      <c r="C306" s="93"/>
      <c r="D306" s="93"/>
      <c r="E306" s="93"/>
      <c r="F306" s="93"/>
      <c r="G306" s="93"/>
      <c r="H306" s="243"/>
      <c r="I306" s="243"/>
      <c r="J306" s="244"/>
      <c r="K306" s="252">
        <v>1.7886098982236514</v>
      </c>
      <c r="L306" s="252">
        <v>1.9647047918892071</v>
      </c>
      <c r="M306" s="252">
        <v>2.1611317052448769</v>
      </c>
      <c r="N306" s="252">
        <v>2.3806032708183502</v>
      </c>
      <c r="O306" s="252">
        <v>2.6262345278305528</v>
      </c>
      <c r="Q306" s="143"/>
      <c r="R306"/>
      <c r="S306"/>
      <c r="T306"/>
      <c r="U306" s="23"/>
      <c r="V306" s="23"/>
      <c r="W306"/>
    </row>
    <row r="307" spans="2:23" ht="12.95" customHeight="1" x14ac:dyDescent="0.25">
      <c r="B307" s="93" t="s">
        <v>147</v>
      </c>
      <c r="C307" s="93"/>
      <c r="D307" s="93"/>
      <c r="E307" s="93"/>
      <c r="F307" s="93"/>
      <c r="G307" s="93"/>
      <c r="H307" s="245"/>
      <c r="I307" s="245"/>
      <c r="J307" s="246"/>
      <c r="K307" s="112">
        <v>10</v>
      </c>
      <c r="L307" s="311"/>
      <c r="M307" s="311"/>
      <c r="N307" s="311"/>
      <c r="O307" s="311"/>
      <c r="Q307" s="81" t="s">
        <v>269</v>
      </c>
      <c r="R307"/>
      <c r="S307"/>
      <c r="T307"/>
      <c r="U307" s="23"/>
      <c r="V307" s="23"/>
      <c r="W307"/>
    </row>
    <row r="308" spans="2:23" s="21" customFormat="1" ht="12.95" customHeight="1" x14ac:dyDescent="0.25">
      <c r="B308" s="183" t="s">
        <v>148</v>
      </c>
      <c r="C308" s="183"/>
      <c r="D308" s="183"/>
      <c r="E308" s="183"/>
      <c r="F308" s="183"/>
      <c r="G308" s="183"/>
      <c r="H308" s="247"/>
      <c r="I308" s="247"/>
      <c r="J308" s="248"/>
      <c r="K308" s="312"/>
      <c r="L308" s="312"/>
      <c r="M308" s="312"/>
      <c r="N308" s="312"/>
      <c r="O308" s="312"/>
      <c r="Q308" s="81" t="s">
        <v>270</v>
      </c>
      <c r="R308"/>
      <c r="S308"/>
      <c r="T308"/>
      <c r="U308" s="23"/>
      <c r="V308" s="23"/>
      <c r="W308"/>
    </row>
    <row r="309" spans="2:23" s="21" customFormat="1" ht="12.95" customHeight="1" x14ac:dyDescent="0.25">
      <c r="B309" s="92"/>
      <c r="C309" s="92"/>
      <c r="D309" s="92"/>
      <c r="E309" s="92"/>
      <c r="F309" s="92"/>
      <c r="G309" s="92"/>
      <c r="H309" s="249"/>
      <c r="I309" s="249"/>
      <c r="J309" s="250"/>
      <c r="K309" s="188"/>
      <c r="L309" s="188"/>
      <c r="M309" s="188"/>
      <c r="N309" s="188"/>
      <c r="O309" s="188"/>
      <c r="Q309" s="143"/>
      <c r="R309"/>
      <c r="S309"/>
      <c r="T309"/>
      <c r="U309" s="23"/>
      <c r="V309" s="23"/>
      <c r="W309"/>
    </row>
    <row r="310" spans="2:23" ht="12.95" customHeight="1" x14ac:dyDescent="0.25">
      <c r="B310" s="93" t="s">
        <v>145</v>
      </c>
      <c r="C310" s="93"/>
      <c r="D310" s="93"/>
      <c r="E310" s="93"/>
      <c r="F310" s="93"/>
      <c r="G310" s="93"/>
      <c r="H310" s="136"/>
      <c r="I310" s="136"/>
      <c r="J310" s="237"/>
      <c r="K310" s="300"/>
      <c r="L310" s="300"/>
      <c r="M310" s="300"/>
      <c r="N310" s="300"/>
      <c r="O310" s="300"/>
      <c r="Q310" s="81" t="s">
        <v>271</v>
      </c>
      <c r="R310"/>
      <c r="S310"/>
      <c r="T310"/>
      <c r="U310" s="23"/>
      <c r="V310" s="23"/>
      <c r="W310"/>
    </row>
    <row r="311" spans="2:23" ht="12.95" customHeight="1" x14ac:dyDescent="0.25">
      <c r="B311" s="93" t="s">
        <v>146</v>
      </c>
      <c r="C311" s="93"/>
      <c r="D311" s="93"/>
      <c r="E311" s="93"/>
      <c r="F311" s="93"/>
      <c r="G311" s="93"/>
      <c r="H311" s="136"/>
      <c r="I311" s="136"/>
      <c r="J311" s="237"/>
      <c r="K311" s="300"/>
      <c r="L311" s="300"/>
      <c r="M311" s="300"/>
      <c r="N311" s="300"/>
      <c r="O311" s="300"/>
      <c r="Q311" s="81" t="s">
        <v>272</v>
      </c>
      <c r="R311"/>
      <c r="S311"/>
      <c r="T311"/>
      <c r="U311" s="23"/>
      <c r="V311" s="23"/>
      <c r="W311"/>
    </row>
    <row r="312" spans="2:23" ht="12.95" customHeight="1" x14ac:dyDescent="0.25">
      <c r="B312" s="183" t="s">
        <v>144</v>
      </c>
      <c r="C312" s="183"/>
      <c r="D312" s="183"/>
      <c r="E312" s="183"/>
      <c r="F312" s="183"/>
      <c r="G312" s="183"/>
      <c r="H312" s="238"/>
      <c r="I312" s="238"/>
      <c r="J312" s="239"/>
      <c r="K312" s="308"/>
      <c r="L312" s="308"/>
      <c r="M312" s="308"/>
      <c r="N312" s="308"/>
      <c r="O312" s="308"/>
      <c r="Q312" s="81" t="s">
        <v>273</v>
      </c>
      <c r="R312"/>
      <c r="S312"/>
      <c r="T312"/>
      <c r="U312" s="23"/>
      <c r="V312" s="23"/>
      <c r="W312"/>
    </row>
    <row r="313" spans="2:23" ht="12.95" customHeight="1" x14ac:dyDescent="0.2">
      <c r="J313" s="250"/>
      <c r="K313" s="188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 s="143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300"/>
      <c r="L315" s="300"/>
      <c r="M315" s="300"/>
      <c r="N315" s="300"/>
      <c r="O315" s="300"/>
      <c r="Q315" s="1" t="s">
        <v>393</v>
      </c>
      <c r="R315"/>
      <c r="S315"/>
      <c r="T315"/>
      <c r="U315" s="23"/>
      <c r="V315" s="23"/>
      <c r="W315"/>
    </row>
    <row r="316" spans="2:23" ht="12.95" customHeight="1" x14ac:dyDescent="0.25">
      <c r="B316" s="20" t="str">
        <f>+B312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277"/>
      <c r="L316" s="277"/>
      <c r="M316" s="277"/>
      <c r="N316" s="277"/>
      <c r="O316" s="277"/>
      <c r="Q316" s="1" t="s">
        <v>274</v>
      </c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313"/>
      <c r="L317" s="313"/>
      <c r="M317" s="313"/>
      <c r="N317" s="313"/>
      <c r="O317" s="313"/>
      <c r="Q317" s="1" t="s">
        <v>275</v>
      </c>
      <c r="R317"/>
      <c r="S317"/>
      <c r="T317"/>
      <c r="U317" s="23"/>
      <c r="V317" s="23"/>
      <c r="W317"/>
    </row>
    <row r="318" spans="2:23" ht="12.95" customHeight="1" x14ac:dyDescent="0.25">
      <c r="R318"/>
      <c r="S318"/>
      <c r="T318"/>
    </row>
    <row r="319" spans="2:23" ht="12.95" customHeight="1" x14ac:dyDescent="0.25">
      <c r="H319" s="251"/>
      <c r="I319" s="251"/>
      <c r="J319" s="251"/>
      <c r="R319"/>
      <c r="S319"/>
      <c r="T319"/>
    </row>
    <row r="320" spans="2:23" ht="12.95" customHeight="1" x14ac:dyDescent="0.2">
      <c r="H320" s="23"/>
      <c r="I320" s="23"/>
      <c r="J320" s="23"/>
    </row>
  </sheetData>
  <conditionalFormatting sqref="A247:A262 A264:A272 A328:A1048576 A274:A290 A1:A245 A314:A318 A292:A309">
    <cfRule type="expression" dxfId="77" priority="7">
      <formula>$D$18&gt;0</formula>
    </cfRule>
  </conditionalFormatting>
  <conditionalFormatting sqref="A246">
    <cfRule type="expression" dxfId="76" priority="6">
      <formula>$D$18&gt;0</formula>
    </cfRule>
  </conditionalFormatting>
  <conditionalFormatting sqref="A263">
    <cfRule type="expression" dxfId="75" priority="5">
      <formula>$D$18&gt;0</formula>
    </cfRule>
  </conditionalFormatting>
  <conditionalFormatting sqref="A273">
    <cfRule type="expression" dxfId="74" priority="4">
      <formula>$D$18&gt;0</formula>
    </cfRule>
  </conditionalFormatting>
  <conditionalFormatting sqref="A281">
    <cfRule type="expression" dxfId="73" priority="3">
      <formula>$D$18&gt;0</formula>
    </cfRule>
  </conditionalFormatting>
  <conditionalFormatting sqref="A291">
    <cfRule type="expression" dxfId="72" priority="2">
      <formula>$D$18&gt;0</formula>
    </cfRule>
  </conditionalFormatting>
  <conditionalFormatting sqref="A310:A312">
    <cfRule type="expression" dxfId="71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CA1DC-DABE-43F1-945C-963894AD4C9D}">
  <dimension ref="A2:X320"/>
  <sheetViews>
    <sheetView showGridLines="0" topLeftCell="A280" zoomScaleNormal="100" zoomScaleSheetLayoutView="85" workbookViewId="0">
      <selection activeCell="E300" sqref="E300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>
        <f ca="1">+IF(SUM(H130:O130)=0,0,1)</f>
        <v>0</v>
      </c>
    </row>
    <row r="17" spans="1:17" ht="12.95" customHeight="1" x14ac:dyDescent="0.2">
      <c r="B17" s="1" t="s">
        <v>8</v>
      </c>
      <c r="D17" s="259">
        <f ca="1">+IF(SUM(K225:O225)=0,0,1)</f>
        <v>0</v>
      </c>
    </row>
    <row r="18" spans="1:17" ht="12.95" customHeight="1" x14ac:dyDescent="0.2">
      <c r="B18" s="13" t="s">
        <v>9</v>
      </c>
      <c r="C18" s="14"/>
      <c r="D18" s="262">
        <f ca="1">SUM(D16:D17)</f>
        <v>0</v>
      </c>
    </row>
    <row r="20" spans="1:17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7" ht="12.95" customHeight="1" x14ac:dyDescent="0.2">
      <c r="B21" s="25" t="s">
        <v>11</v>
      </c>
    </row>
    <row r="23" spans="1:17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7" ht="12.95" customHeight="1" outlineLevel="1" x14ac:dyDescent="0.2"/>
    <row r="25" spans="1:17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7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7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266"/>
      <c r="I27" s="266"/>
      <c r="J27" s="267"/>
      <c r="K27" s="266"/>
      <c r="L27" s="266"/>
      <c r="M27" s="266"/>
      <c r="N27" s="266"/>
      <c r="O27" s="266"/>
      <c r="Q27" s="81" t="s">
        <v>283</v>
      </c>
    </row>
    <row r="28" spans="1:17" s="25" customFormat="1" ht="12.95" customHeight="1" outlineLevel="1" x14ac:dyDescent="0.2">
      <c r="B28" s="34" t="s">
        <v>159</v>
      </c>
      <c r="H28" s="219"/>
      <c r="I28" s="268"/>
      <c r="J28" s="269"/>
      <c r="K28" s="268"/>
      <c r="L28" s="268"/>
      <c r="M28" s="268"/>
      <c r="N28" s="268"/>
      <c r="O28" s="268"/>
      <c r="Q28" s="81" t="s">
        <v>284</v>
      </c>
    </row>
    <row r="29" spans="1:17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266"/>
      <c r="I29" s="266"/>
      <c r="J29" s="267"/>
      <c r="K29" s="266"/>
      <c r="L29" s="266"/>
      <c r="M29" s="266"/>
      <c r="N29" s="266"/>
      <c r="O29" s="266"/>
      <c r="Q29" s="81" t="s">
        <v>287</v>
      </c>
    </row>
    <row r="30" spans="1:17" s="25" customFormat="1" ht="12.95" customHeight="1" outlineLevel="1" x14ac:dyDescent="0.2">
      <c r="B30" s="34" t="s">
        <v>160</v>
      </c>
      <c r="H30" s="268"/>
      <c r="I30" s="268"/>
      <c r="J30" s="269"/>
      <c r="K30" s="268"/>
      <c r="L30" s="268"/>
      <c r="M30" s="268"/>
      <c r="N30" s="268"/>
      <c r="O30" s="268"/>
      <c r="Q30" s="81" t="s">
        <v>288</v>
      </c>
    </row>
    <row r="31" spans="1:17" ht="12.95" customHeight="1" outlineLevel="1" x14ac:dyDescent="0.2">
      <c r="J31" s="35"/>
      <c r="Q31" s="143"/>
    </row>
    <row r="32" spans="1:17" ht="12.95" customHeight="1" outlineLevel="1" x14ac:dyDescent="0.2">
      <c r="B32" s="1" t="s">
        <v>153</v>
      </c>
      <c r="J32" s="35"/>
      <c r="K32" s="270"/>
      <c r="L32" s="270"/>
      <c r="M32" s="270"/>
      <c r="N32" s="270"/>
      <c r="O32" s="270"/>
      <c r="Q32" s="81" t="s">
        <v>289</v>
      </c>
    </row>
    <row r="33" spans="2:17" ht="12.95" customHeight="1" outlineLevel="1" x14ac:dyDescent="0.2">
      <c r="B33" s="1" t="s">
        <v>16</v>
      </c>
      <c r="J33" s="35"/>
      <c r="K33" s="270"/>
      <c r="L33" s="270"/>
      <c r="M33" s="270"/>
      <c r="N33" s="270"/>
      <c r="O33" s="270"/>
      <c r="Q33" s="81" t="s">
        <v>290</v>
      </c>
    </row>
    <row r="34" spans="2:17" s="25" customFormat="1" ht="12.95" customHeight="1" outlineLevel="1" x14ac:dyDescent="0.2">
      <c r="B34" s="34" t="s">
        <v>17</v>
      </c>
      <c r="J34" s="36"/>
      <c r="K34" s="268"/>
      <c r="L34" s="268"/>
      <c r="M34" s="268"/>
      <c r="N34" s="268"/>
      <c r="O34" s="268"/>
      <c r="Q34" s="81" t="s">
        <v>291</v>
      </c>
    </row>
    <row r="35" spans="2:17" ht="3" customHeight="1" outlineLevel="1" x14ac:dyDescent="0.2">
      <c r="J35" s="35"/>
      <c r="Q35" s="143"/>
    </row>
    <row r="36" spans="2:17" ht="12.95" customHeight="1" outlineLevel="1" x14ac:dyDescent="0.35">
      <c r="J36" s="37"/>
      <c r="K36" s="109" t="str">
        <f>+H62</f>
        <v>Fiscal Year Ended 12/31</v>
      </c>
      <c r="L36" s="285"/>
      <c r="M36" s="285"/>
      <c r="N36" s="285"/>
      <c r="O36" s="285"/>
      <c r="Q36" s="143"/>
    </row>
    <row r="37" spans="2:17" ht="12.95" customHeight="1" outlineLevel="1" x14ac:dyDescent="0.2">
      <c r="B37" s="18" t="s">
        <v>18</v>
      </c>
      <c r="J37" s="38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Q37" s="143"/>
    </row>
    <row r="38" spans="2:17" ht="12.95" customHeight="1" outlineLevel="1" x14ac:dyDescent="0.2">
      <c r="B38" s="1" t="s">
        <v>328</v>
      </c>
      <c r="J38" s="40"/>
      <c r="K38" s="271"/>
      <c r="L38" s="271"/>
      <c r="M38" s="271"/>
      <c r="N38" s="271"/>
      <c r="O38" s="271"/>
      <c r="Q38" s="81" t="s">
        <v>329</v>
      </c>
    </row>
    <row r="39" spans="2:17" ht="12.95" customHeight="1" outlineLevel="1" x14ac:dyDescent="0.2">
      <c r="B39" s="1" t="s">
        <v>330</v>
      </c>
      <c r="J39" s="35"/>
      <c r="K39" s="272"/>
      <c r="L39" s="272"/>
      <c r="M39" s="272"/>
      <c r="N39" s="272"/>
      <c r="O39" s="272"/>
      <c r="Q39" s="81" t="s">
        <v>292</v>
      </c>
    </row>
    <row r="40" spans="2:17" ht="12.95" customHeight="1" outlineLevel="1" x14ac:dyDescent="0.2">
      <c r="B40" s="1" t="s">
        <v>20</v>
      </c>
      <c r="J40" s="35"/>
      <c r="K40" s="272"/>
      <c r="L40" s="272"/>
      <c r="M40" s="272"/>
      <c r="N40" s="272"/>
      <c r="O40" s="272"/>
      <c r="Q40" s="81" t="s">
        <v>293</v>
      </c>
    </row>
    <row r="41" spans="2:17" ht="12.95" customHeight="1" outlineLevel="1" x14ac:dyDescent="0.2">
      <c r="B41" s="1" t="s">
        <v>21</v>
      </c>
      <c r="J41" s="41"/>
      <c r="K41" s="272"/>
      <c r="L41" s="272"/>
      <c r="M41" s="272"/>
      <c r="N41" s="272"/>
      <c r="O41" s="272"/>
      <c r="Q41" s="81" t="s">
        <v>294</v>
      </c>
    </row>
    <row r="42" spans="2:17" ht="12.95" customHeight="1" outlineLevel="1" x14ac:dyDescent="0.2">
      <c r="B42" s="1" t="s">
        <v>22</v>
      </c>
      <c r="J42" s="41"/>
      <c r="K42" s="272"/>
      <c r="L42" s="272"/>
      <c r="M42" s="272"/>
      <c r="N42" s="272"/>
      <c r="O42" s="272"/>
      <c r="Q42" s="81" t="s">
        <v>295</v>
      </c>
    </row>
    <row r="43" spans="2:17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43"/>
      <c r="I43" s="43"/>
      <c r="J43" s="44"/>
      <c r="K43" s="273"/>
      <c r="L43" s="273"/>
      <c r="M43" s="273"/>
      <c r="N43" s="273"/>
      <c r="O43" s="274"/>
      <c r="Q43" s="81" t="s">
        <v>296</v>
      </c>
    </row>
    <row r="44" spans="2:17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28"/>
      <c r="I44" s="28"/>
      <c r="J44" s="45"/>
      <c r="K44" s="275"/>
      <c r="L44" s="275"/>
      <c r="M44" s="275"/>
      <c r="N44" s="275"/>
      <c r="O44" s="276"/>
      <c r="Q44" s="81" t="s">
        <v>305</v>
      </c>
    </row>
    <row r="45" spans="2:17" ht="3" customHeight="1" outlineLevel="1" x14ac:dyDescent="0.2">
      <c r="J45" s="35"/>
      <c r="K45" s="223"/>
      <c r="L45" s="223"/>
      <c r="M45" s="223"/>
      <c r="N45" s="223"/>
      <c r="O45" s="223"/>
      <c r="Q45" s="143"/>
    </row>
    <row r="46" spans="2:17" ht="12.95" customHeight="1" outlineLevel="1" x14ac:dyDescent="0.2">
      <c r="B46" s="18" t="s">
        <v>25</v>
      </c>
      <c r="J46" s="37"/>
      <c r="K46" s="143"/>
      <c r="L46" s="143"/>
      <c r="M46" s="143"/>
      <c r="N46" s="143"/>
      <c r="O46" s="143"/>
      <c r="Q46" s="143"/>
    </row>
    <row r="47" spans="2:17" ht="12.95" customHeight="1" outlineLevel="1" x14ac:dyDescent="0.2">
      <c r="B47" s="1" t="s">
        <v>26</v>
      </c>
      <c r="J47" s="120"/>
      <c r="K47" s="270"/>
      <c r="L47" s="270"/>
      <c r="M47" s="270"/>
      <c r="N47" s="270"/>
      <c r="O47" s="270"/>
      <c r="Q47" s="81" t="s">
        <v>297</v>
      </c>
    </row>
    <row r="48" spans="2:17" ht="3" customHeight="1" outlineLevel="1" x14ac:dyDescent="0.2">
      <c r="J48" s="120"/>
      <c r="K48" s="143"/>
      <c r="L48" s="143"/>
      <c r="M48" s="143"/>
      <c r="N48" s="143"/>
      <c r="O48" s="143"/>
      <c r="Q48" s="143"/>
    </row>
    <row r="49" spans="1:17" ht="12.95" customHeight="1" outlineLevel="1" x14ac:dyDescent="0.2">
      <c r="B49" s="1" t="str">
        <f>+B121</f>
        <v>Revolving Credit Facility</v>
      </c>
      <c r="J49" s="121"/>
      <c r="K49" s="272"/>
      <c r="L49" s="272"/>
      <c r="M49" s="272"/>
      <c r="N49" s="272"/>
      <c r="O49" s="272"/>
      <c r="Q49" s="81" t="s">
        <v>298</v>
      </c>
    </row>
    <row r="50" spans="1:17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20"/>
      <c r="I50" s="20"/>
      <c r="J50" s="122"/>
      <c r="K50" s="277"/>
      <c r="L50" s="277"/>
      <c r="M50" s="277"/>
      <c r="N50" s="277"/>
      <c r="O50" s="277"/>
      <c r="Q50" s="81" t="s">
        <v>299</v>
      </c>
    </row>
    <row r="51" spans="1:17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93"/>
      <c r="I51" s="93"/>
      <c r="J51" s="123"/>
      <c r="K51" s="278"/>
      <c r="L51" s="278"/>
      <c r="M51" s="278"/>
      <c r="N51" s="278"/>
      <c r="O51" s="278"/>
      <c r="Q51" s="81" t="s">
        <v>300</v>
      </c>
    </row>
    <row r="52" spans="1:17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20"/>
      <c r="I52" s="20"/>
      <c r="J52" s="122"/>
      <c r="K52" s="277"/>
      <c r="L52" s="277"/>
      <c r="M52" s="277"/>
      <c r="N52" s="277"/>
      <c r="O52" s="277"/>
      <c r="Q52" s="81" t="s">
        <v>304</v>
      </c>
    </row>
    <row r="53" spans="1:17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21"/>
      <c r="I53" s="21"/>
      <c r="J53" s="123"/>
      <c r="K53" s="266"/>
      <c r="L53" s="266"/>
      <c r="M53" s="266"/>
      <c r="N53" s="266"/>
      <c r="O53" s="266"/>
      <c r="Q53" s="81" t="s">
        <v>301</v>
      </c>
    </row>
    <row r="54" spans="1:17" ht="3" customHeight="1" outlineLevel="1" x14ac:dyDescent="0.2">
      <c r="J54" s="124"/>
      <c r="K54" s="143"/>
      <c r="L54" s="143"/>
      <c r="M54" s="143"/>
      <c r="N54" s="143"/>
      <c r="O54" s="143"/>
      <c r="Q54" s="143"/>
    </row>
    <row r="55" spans="1:17" ht="12.95" customHeight="1" outlineLevel="1" x14ac:dyDescent="0.2">
      <c r="B55" s="18" t="s">
        <v>29</v>
      </c>
      <c r="J55" s="120"/>
      <c r="K55" s="224"/>
      <c r="L55" s="143"/>
      <c r="M55" s="143"/>
      <c r="N55" s="143"/>
      <c r="O55" s="160"/>
      <c r="P55" s="46"/>
      <c r="Q55" s="143"/>
    </row>
    <row r="56" spans="1:17" ht="12.95" customHeight="1" outlineLevel="1" x14ac:dyDescent="0.2">
      <c r="B56" s="1" t="s">
        <v>30</v>
      </c>
      <c r="J56" s="125"/>
      <c r="K56" s="279"/>
      <c r="L56" s="279"/>
      <c r="M56" s="279"/>
      <c r="N56" s="279"/>
      <c r="O56" s="279"/>
      <c r="P56" s="46"/>
      <c r="Q56" s="81" t="s">
        <v>302</v>
      </c>
    </row>
    <row r="57" spans="1:17" ht="3" customHeight="1" outlineLevel="1" x14ac:dyDescent="0.2">
      <c r="J57" s="35"/>
      <c r="K57" s="143"/>
      <c r="L57" s="143"/>
      <c r="M57" s="143"/>
      <c r="N57" s="143"/>
      <c r="O57" s="175"/>
      <c r="Q57" s="143"/>
    </row>
    <row r="58" spans="1:17" ht="12.95" customHeight="1" outlineLevel="1" x14ac:dyDescent="0.2">
      <c r="B58" s="1" t="s">
        <v>285</v>
      </c>
      <c r="J58" s="35"/>
      <c r="K58" s="280"/>
      <c r="L58" s="280"/>
      <c r="M58" s="280"/>
      <c r="N58" s="280"/>
      <c r="O58" s="280"/>
      <c r="Q58" s="81" t="s">
        <v>303</v>
      </c>
    </row>
    <row r="60" spans="1:17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7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7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7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5" ht="12.95" customHeight="1" x14ac:dyDescent="0.2">
      <c r="B71" s="1" t="s">
        <v>37</v>
      </c>
      <c r="H71" s="53">
        <f t="shared" ref="H71:J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ca="1">+SUM(K68:K70)</f>
        <v>258.37410700830594</v>
      </c>
      <c r="L71" s="134">
        <f ca="1">+SUM(L68:L70)</f>
        <v>284.75067519161416</v>
      </c>
      <c r="M71" s="134">
        <f ca="1">+SUM(M68:M70)</f>
        <v>314.28349047591439</v>
      </c>
      <c r="N71" s="134">
        <f ca="1">+SUM(N68:N70)</f>
        <v>347.40378658925005</v>
      </c>
      <c r="O71" s="134">
        <f ca="1">+SUM(O68:O70)</f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J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ca="1">+SUM(K71:K72)</f>
        <v>191.19683918614641</v>
      </c>
      <c r="L73" s="145">
        <f ca="1">+SUM(L71:L72)</f>
        <v>210.71549964179448</v>
      </c>
      <c r="M73" s="145">
        <f ca="1">+SUM(M71:M72)</f>
        <v>232.56978295217664</v>
      </c>
      <c r="N73" s="145">
        <f ca="1">+SUM(N71:N72)</f>
        <v>257.07880207604501</v>
      </c>
      <c r="O73" s="145">
        <f ca="1">+SUM(O71:O72)</f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>+K298</f>
        <v>101.89689203667751</v>
      </c>
      <c r="L75" s="193">
        <f>+L298</f>
        <v>102.25046353614078</v>
      </c>
      <c r="M75" s="193">
        <f>+M298</f>
        <v>102.61481236324015</v>
      </c>
      <c r="N75" s="193">
        <f>+N298</f>
        <v>102.98893088459559</v>
      </c>
      <c r="O75" s="193">
        <f>+O298</f>
        <v>103.37186223538747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>
        <f ca="1">+K73/K75</f>
        <v>1.8763755730383378</v>
      </c>
      <c r="L76" s="200">
        <f ca="1">+L73/L75</f>
        <v>2.0607779403104254</v>
      </c>
      <c r="M76" s="200">
        <f ca="1">+M73/M75</f>
        <v>2.2664348118565623</v>
      </c>
      <c r="N76" s="200">
        <f ca="1">+N73/N75</f>
        <v>2.4961789569804842</v>
      </c>
      <c r="O76" s="200">
        <f ca="1">+O73/O75</f>
        <v>2.7532630281902719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>+K300</f>
        <v>106.89689203667751</v>
      </c>
      <c r="L78" s="193">
        <f>+L300</f>
        <v>107.25046353614078</v>
      </c>
      <c r="M78" s="193">
        <f>+M300</f>
        <v>107.61481236324015</v>
      </c>
      <c r="N78" s="193">
        <f>+N300</f>
        <v>107.98893088459559</v>
      </c>
      <c r="O78" s="193">
        <f>+O300</f>
        <v>108.37186223538747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>
        <f ca="1">+K73/K78</f>
        <v>1.7886098982236514</v>
      </c>
      <c r="L79" s="200">
        <f ca="1">+L73/L78</f>
        <v>1.9647047918892071</v>
      </c>
      <c r="M79" s="200">
        <f ca="1">+M73/M78</f>
        <v>2.1611317052448769</v>
      </c>
      <c r="N79" s="200">
        <f ca="1">+N73/N78</f>
        <v>2.3806032708183502</v>
      </c>
      <c r="O79" s="200">
        <f ca="1">+O73/O78</f>
        <v>2.6262345278305528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J94" si="11">+I73/H73-1</f>
        <v>9.493629304598783E-2</v>
      </c>
      <c r="J94" s="64">
        <f t="shared" si="11"/>
        <v>9.896609031254977E-2</v>
      </c>
      <c r="K94" s="190">
        <f ca="1">+K73/J73-1</f>
        <v>0.10050092709384262</v>
      </c>
      <c r="L94" s="63">
        <f ca="1">+L73/K73-1</f>
        <v>0.10208673186613204</v>
      </c>
      <c r="M94" s="63">
        <f ca="1">+M73/L73-1</f>
        <v>0.10371464532762564</v>
      </c>
      <c r="N94" s="63">
        <f ca="1">+N73/M73-1</f>
        <v>0.10538350602884705</v>
      </c>
      <c r="O94" s="63">
        <f ca="1">+O73/N73-1</f>
        <v>0.10709216065073179</v>
      </c>
    </row>
    <row r="95" spans="2:15" ht="12.95" customHeight="1" x14ac:dyDescent="0.2">
      <c r="B95" s="1" t="s">
        <v>137</v>
      </c>
      <c r="I95" s="63">
        <f t="shared" ref="I95:J95" si="12">+I79/H79-1</f>
        <v>9.168733587855793E-2</v>
      </c>
      <c r="J95" s="64">
        <f t="shared" si="12"/>
        <v>9.5564359393159437E-2</v>
      </c>
      <c r="K95" s="190">
        <f ca="1">+K79/J79-1</f>
        <v>9.6982783867082478E-2</v>
      </c>
      <c r="L95" s="63">
        <f ca="1">+L79/K79-1</f>
        <v>9.8453493878370768E-2</v>
      </c>
      <c r="M95" s="63">
        <f ca="1">+M79/L79-1</f>
        <v>9.9977825761187633E-2</v>
      </c>
      <c r="N95" s="63">
        <f ca="1">+N79/M79-1</f>
        <v>0.10155399832450529</v>
      </c>
      <c r="O95" s="63">
        <f ca="1">+O79/N79-1</f>
        <v>0.10318025687991472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J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ca="1">+SUM(K103:K106)</f>
        <v>1213.4572274135542</v>
      </c>
      <c r="L107" s="147">
        <f ca="1">+SUM(L103:L106)</f>
        <v>1431.0273834911868</v>
      </c>
      <c r="M107" s="147">
        <f ca="1">+SUM(M103:M106)</f>
        <v>1671.4697333470026</v>
      </c>
      <c r="N107" s="147">
        <f ca="1">+SUM(N103:N106)</f>
        <v>1937.5561081910107</v>
      </c>
      <c r="O107" s="147">
        <f ca="1">+SUM(O103:O106)</f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J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ca="1">+SUM(K107:K111)</f>
        <v>1290.1857119358119</v>
      </c>
      <c r="L112" s="145">
        <f ca="1">+SUM(L107:L111)</f>
        <v>1513.7816857053044</v>
      </c>
      <c r="M112" s="145">
        <f ca="1">+SUM(M107:M111)</f>
        <v>1760.8647269508929</v>
      </c>
      <c r="N112" s="145">
        <f ca="1">+SUM(N107:N111)</f>
        <v>2034.2820117846595</v>
      </c>
      <c r="O112" s="145">
        <f ca="1">+SUM(O107:O111)</f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J123" si="17">SUM(H121:H122)</f>
        <v>50</v>
      </c>
      <c r="I123" s="154">
        <f t="shared" si="17"/>
        <v>50</v>
      </c>
      <c r="J123" s="123">
        <f t="shared" si="17"/>
        <v>50</v>
      </c>
      <c r="K123" s="154">
        <f ca="1">SUM(K121:K122)</f>
        <v>50</v>
      </c>
      <c r="L123" s="154">
        <f ca="1">SUM(L121:L122)</f>
        <v>50</v>
      </c>
      <c r="M123" s="154">
        <f ca="1">SUM(M121:M122)</f>
        <v>50</v>
      </c>
      <c r="N123" s="154">
        <f ca="1">SUM(N121:N122)</f>
        <v>50</v>
      </c>
      <c r="O123" s="154">
        <f ca="1">SUM(O121:O122)</f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18">+L288</f>
        <v>1076.0107348715044</v>
      </c>
      <c r="M127" s="136">
        <f t="shared" ca="1" si="18"/>
        <v>1296.9520286760721</v>
      </c>
      <c r="N127" s="136">
        <f t="shared" ca="1" si="18"/>
        <v>1541.1768906483151</v>
      </c>
      <c r="O127" s="136">
        <f t="shared" ca="1" si="18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J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ca="1">+SUM(K117,K119,K123,K125:K127)</f>
        <v>1290.1857119358119</v>
      </c>
      <c r="L128" s="155">
        <f ca="1">+SUM(L117,L119,L123,L125:L127)</f>
        <v>1513.7816857053042</v>
      </c>
      <c r="M128" s="155">
        <f ca="1">+SUM(M117,M119,M123,M125:M127)</f>
        <v>1760.8647269508926</v>
      </c>
      <c r="N128" s="155">
        <f ca="1">+SUM(N117,N119,N123,N125:N127)</f>
        <v>2034.2820117846593</v>
      </c>
      <c r="O128" s="155">
        <f ca="1">+SUM(O117,O119,O123,O125:O127)</f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J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ca="1">+IF(ABS(K112-K128)&gt;0.001,K112-K128,0)</f>
        <v>0</v>
      </c>
      <c r="L130" s="137">
        <f ca="1">+IF(ABS(L112-L128)&gt;0.001,L112-L128,0)</f>
        <v>0</v>
      </c>
      <c r="M130" s="137">
        <f ca="1">+IF(ABS(M112-M128)&gt;0.001,M112-M128,0)</f>
        <v>0</v>
      </c>
      <c r="N130" s="137">
        <f ca="1">+IF(ABS(N112-N128)&gt;0.001,N112-N128,0)</f>
        <v>0</v>
      </c>
      <c r="O130" s="137">
        <f ca="1">+IF(ABS(O112-O128)&gt;0.001,O112-O128,0)</f>
        <v>0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J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ca="1">+(K107-K103)-K117</f>
        <v>111.80834588935704</v>
      </c>
      <c r="L148" s="17">
        <f ca="1">+(L107-L103)-L117</f>
        <v>120.14212366795709</v>
      </c>
      <c r="M148" s="17">
        <f ca="1">+(M107-M103)-M117</f>
        <v>129.39727185648201</v>
      </c>
      <c r="N148" s="17">
        <f ca="1">+(N107-N103)-N117</f>
        <v>139.68871789759919</v>
      </c>
      <c r="O148" s="17">
        <f ca="1">+(O107-O103)-O117</f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J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ca="1">+K148/K133</f>
        <v>7.5611150684931516E-2</v>
      </c>
      <c r="L149" s="76">
        <f ca="1">+L148/L133</f>
        <v>7.5578534246575249E-2</v>
      </c>
      <c r="M149" s="76">
        <f ca="1">+M148/M133</f>
        <v>7.554591780821919E-2</v>
      </c>
      <c r="N149" s="76">
        <f ca="1">+N148/N133</f>
        <v>7.5513301369862992E-2</v>
      </c>
      <c r="O149" s="76">
        <f ca="1">+O148/O133</f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28">+L192</f>
        <v>0</v>
      </c>
      <c r="M177" s="160">
        <f t="shared" si="28"/>
        <v>0</v>
      </c>
      <c r="N177" s="160">
        <f t="shared" si="28"/>
        <v>0</v>
      </c>
      <c r="O177" s="160">
        <f t="shared" si="28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29">+L210</f>
        <v>0</v>
      </c>
      <c r="M178" s="136">
        <f t="shared" ca="1" si="29"/>
        <v>0</v>
      </c>
      <c r="N178" s="136">
        <f t="shared" ca="1" si="29"/>
        <v>0</v>
      </c>
      <c r="O178" s="136">
        <f t="shared" ca="1" si="29"/>
        <v>0</v>
      </c>
    </row>
    <row r="179" spans="1:20" s="93" customFormat="1" ht="12.95" customHeight="1" x14ac:dyDescent="0.2">
      <c r="B179" s="93" t="s">
        <v>112</v>
      </c>
      <c r="K179" s="136">
        <f t="shared" ref="K179:O180" si="30">+K198</f>
        <v>0</v>
      </c>
      <c r="L179" s="136">
        <f t="shared" si="30"/>
        <v>0</v>
      </c>
      <c r="M179" s="136">
        <f t="shared" si="30"/>
        <v>0</v>
      </c>
      <c r="N179" s="136">
        <f t="shared" si="30"/>
        <v>0</v>
      </c>
      <c r="O179" s="136">
        <f t="shared" si="30"/>
        <v>0</v>
      </c>
    </row>
    <row r="180" spans="1:20" s="93" customFormat="1" ht="12.95" customHeight="1" x14ac:dyDescent="0.2">
      <c r="B180" s="93" t="s">
        <v>113</v>
      </c>
      <c r="K180" s="136">
        <f t="shared" si="30"/>
        <v>-5</v>
      </c>
      <c r="L180" s="136">
        <f t="shared" si="30"/>
        <v>-5</v>
      </c>
      <c r="M180" s="136">
        <f t="shared" si="30"/>
        <v>-5</v>
      </c>
      <c r="N180" s="136">
        <f t="shared" si="30"/>
        <v>-5</v>
      </c>
      <c r="O180" s="136">
        <f t="shared" si="3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ca="1">+K200</f>
        <v>-9.5598419593073203</v>
      </c>
      <c r="L181" s="136">
        <f ca="1">+L200</f>
        <v>-10.535774982089725</v>
      </c>
      <c r="M181" s="136">
        <f ca="1">+M200</f>
        <v>-11.628489147608832</v>
      </c>
      <c r="N181" s="136">
        <f ca="1">+N200</f>
        <v>-12.853940103802252</v>
      </c>
      <c r="O181" s="136">
        <f ca="1">+O200</f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326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325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customHeight="1" outlineLevel="1" x14ac:dyDescent="0.2"/>
    <row r="225" spans="1:15" ht="12.95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customHeight="1" outlineLevel="1" x14ac:dyDescent="0.2"/>
    <row r="248" spans="1:15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customHeight="1" outlineLevel="1" x14ac:dyDescent="0.2">
      <c r="B249" s="1" t="str">
        <f>+B133</f>
        <v>Revenue</v>
      </c>
      <c r="H249" s="137">
        <f t="shared" ref="H249:O251" si="31">+H133</f>
        <v>1209.9228781500001</v>
      </c>
      <c r="I249" s="137">
        <f t="shared" si="31"/>
        <v>1288.5678652297499</v>
      </c>
      <c r="J249" s="136">
        <f t="shared" si="31"/>
        <v>1378.7676157958326</v>
      </c>
      <c r="K249" s="136">
        <f t="shared" si="31"/>
        <v>1478.7282679410305</v>
      </c>
      <c r="L249" s="137">
        <f t="shared" si="31"/>
        <v>1589.6328880366079</v>
      </c>
      <c r="M249" s="137">
        <f t="shared" si="31"/>
        <v>1712.8294368594452</v>
      </c>
      <c r="N249" s="137">
        <f t="shared" si="31"/>
        <v>1849.8557918082008</v>
      </c>
      <c r="O249" s="137">
        <f t="shared" si="31"/>
        <v>2002.4688946323774</v>
      </c>
    </row>
    <row r="250" spans="1:15" ht="12.95" customHeight="1" outlineLevel="1" x14ac:dyDescent="0.2">
      <c r="B250" s="1" t="str">
        <f>+B134</f>
        <v>Cost of Goods Sold (Cost of Sales)</v>
      </c>
      <c r="H250" s="137">
        <f t="shared" si="31"/>
        <v>679.97665752030014</v>
      </c>
      <c r="I250" s="137">
        <f t="shared" si="31"/>
        <v>721.59800452866</v>
      </c>
      <c r="J250" s="136">
        <f t="shared" si="31"/>
        <v>769.35232961407462</v>
      </c>
      <c r="K250" s="136">
        <f t="shared" si="31"/>
        <v>822.17291697521307</v>
      </c>
      <c r="L250" s="137">
        <f t="shared" si="31"/>
        <v>880.65661997228085</v>
      </c>
      <c r="M250" s="137">
        <f t="shared" si="31"/>
        <v>945.48184914641388</v>
      </c>
      <c r="N250" s="137">
        <f t="shared" si="31"/>
        <v>1017.4206854945105</v>
      </c>
      <c r="O250" s="137">
        <f t="shared" si="31"/>
        <v>1097.3529542585429</v>
      </c>
    </row>
    <row r="251" spans="1:15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1"/>
        <v>335.75359868662508</v>
      </c>
      <c r="I251" s="140">
        <f t="shared" si="31"/>
        <v>355.64473080341099</v>
      </c>
      <c r="J251" s="140">
        <f t="shared" si="31"/>
        <v>378.47171053595611</v>
      </c>
      <c r="K251" s="140">
        <f t="shared" si="31"/>
        <v>403.69281714790134</v>
      </c>
      <c r="L251" s="140">
        <f t="shared" si="31"/>
        <v>431.58532910193907</v>
      </c>
      <c r="M251" s="140">
        <f t="shared" si="31"/>
        <v>462.46394795205021</v>
      </c>
      <c r="N251" s="140">
        <f t="shared" si="31"/>
        <v>496.68628010050196</v>
      </c>
      <c r="O251" s="140">
        <f t="shared" si="31"/>
        <v>534.65919486684481</v>
      </c>
    </row>
    <row r="252" spans="1:15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J286" si="32">+H73</f>
        <v>144.38336269074406</v>
      </c>
      <c r="I286" s="135">
        <f t="shared" si="32"/>
        <v>158.09058392211767</v>
      </c>
      <c r="J286" s="229">
        <f t="shared" si="32"/>
        <v>173.73619092811771</v>
      </c>
      <c r="K286" s="179">
        <f ca="1">+K73</f>
        <v>191.19683918614641</v>
      </c>
      <c r="L286" s="179">
        <f ca="1">+L73</f>
        <v>210.71549964179448</v>
      </c>
      <c r="M286" s="179">
        <f ca="1">+M73</f>
        <v>232.56978295217664</v>
      </c>
      <c r="N286" s="179">
        <f ca="1">+N73</f>
        <v>257.07880207604501</v>
      </c>
      <c r="O286" s="179">
        <f ca="1">+O73</f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>
        <f t="shared" ref="H295:J295" si="33">+H73</f>
        <v>144.38336269074406</v>
      </c>
      <c r="I295" s="17">
        <f t="shared" si="33"/>
        <v>158.09058392211767</v>
      </c>
      <c r="J295" s="213">
        <f t="shared" si="33"/>
        <v>173.73619092811771</v>
      </c>
      <c r="K295" s="17">
        <f ca="1">+K73</f>
        <v>191.19683918614641</v>
      </c>
      <c r="L295" s="17">
        <f ca="1">+L73</f>
        <v>210.71549964179448</v>
      </c>
      <c r="M295" s="17">
        <f ca="1">+M73</f>
        <v>232.56978295217664</v>
      </c>
      <c r="N295" s="17">
        <f ca="1">+N73</f>
        <v>257.07880207604501</v>
      </c>
      <c r="O295" s="17">
        <f ca="1">+O73</f>
        <v>284.60992644787052</v>
      </c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>
        <f>+H75</f>
        <v>100.91013022450269</v>
      </c>
      <c r="I298" s="135">
        <f>+I75</f>
        <v>101.22532805211092</v>
      </c>
      <c r="J298" s="236">
        <f>+J75</f>
        <v>101.5551580431645</v>
      </c>
      <c r="K298" s="23">
        <f>+K317</f>
        <v>101.89689203667751</v>
      </c>
      <c r="L298" s="23">
        <f>+L317</f>
        <v>102.25046353614078</v>
      </c>
      <c r="M298" s="23">
        <f>+M317</f>
        <v>102.61481236324015</v>
      </c>
      <c r="N298" s="23">
        <f>+N317</f>
        <v>102.98893088459559</v>
      </c>
      <c r="O298" s="23">
        <f>+O317</f>
        <v>103.37186223538747</v>
      </c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>
        <f>+H300-H298</f>
        <v>5</v>
      </c>
      <c r="I299" s="136">
        <f>+I300-I298</f>
        <v>5</v>
      </c>
      <c r="J299" s="237">
        <f>+J300-J298</f>
        <v>5</v>
      </c>
      <c r="K299" s="111">
        <f>+J299</f>
        <v>5</v>
      </c>
      <c r="L299" s="111">
        <f>+K299</f>
        <v>5</v>
      </c>
      <c r="M299" s="111">
        <f>+L299</f>
        <v>5</v>
      </c>
      <c r="N299" s="111">
        <f>+M299</f>
        <v>5</v>
      </c>
      <c r="O299" s="111">
        <f>+N299</f>
        <v>5</v>
      </c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>
        <f>+H78</f>
        <v>105.91013022450269</v>
      </c>
      <c r="I300" s="238">
        <f>+I78</f>
        <v>106.22532805211092</v>
      </c>
      <c r="J300" s="239">
        <f>+J78</f>
        <v>106.5551580431645</v>
      </c>
      <c r="K300" s="187">
        <f>SUM(K298:K299)</f>
        <v>106.89689203667751</v>
      </c>
      <c r="L300" s="187">
        <f>SUM(L298:L299)</f>
        <v>107.25046353614078</v>
      </c>
      <c r="M300" s="187">
        <f>SUM(M298:M299)</f>
        <v>107.61481236324015</v>
      </c>
      <c r="N300" s="187">
        <f>SUM(N298:N299)</f>
        <v>107.98893088459559</v>
      </c>
      <c r="O300" s="187">
        <f>SUM(O298:O299)</f>
        <v>108.37186223538747</v>
      </c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>
        <f>+K269+K268</f>
        <v>11.111880686976447</v>
      </c>
      <c r="L302" s="111">
        <f>+L269+L268</f>
        <v>11.945271738499681</v>
      </c>
      <c r="M302" s="111">
        <f>+M269+M268</f>
        <v>12.871030298233407</v>
      </c>
      <c r="N302" s="111">
        <f>+N269+N268</f>
        <v>13.900712722092081</v>
      </c>
      <c r="O302" s="111">
        <f>+O269+O268</f>
        <v>15.047521521664677</v>
      </c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>
        <f>+K278</f>
        <v>-5</v>
      </c>
      <c r="L303" s="111">
        <f>+L278</f>
        <v>-5</v>
      </c>
      <c r="M303" s="111">
        <f>+M278</f>
        <v>-5</v>
      </c>
      <c r="N303" s="111">
        <f>+N278</f>
        <v>-5</v>
      </c>
      <c r="O303" s="111">
        <f>+O278</f>
        <v>-5</v>
      </c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>
        <f>SUM(K302:K303)</f>
        <v>6.1118806869764466</v>
      </c>
      <c r="L304" s="184">
        <f>SUM(L302:L303)</f>
        <v>6.9452717384996809</v>
      </c>
      <c r="M304" s="184">
        <f>SUM(M302:M303)</f>
        <v>7.8710302982334071</v>
      </c>
      <c r="N304" s="184">
        <f>SUM(N302:N303)</f>
        <v>8.9007127220920808</v>
      </c>
      <c r="O304" s="184">
        <f>SUM(O302:O303)</f>
        <v>10.047521521664677</v>
      </c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108</v>
      </c>
      <c r="C306" s="93"/>
      <c r="D306" s="93"/>
      <c r="E306" s="93"/>
      <c r="F306" s="93"/>
      <c r="G306" s="93"/>
      <c r="H306" s="243"/>
      <c r="I306" s="243"/>
      <c r="J306" s="244"/>
      <c r="K306" s="252">
        <v>1.7884906983196138</v>
      </c>
      <c r="L306" s="252">
        <v>1.964318885725421</v>
      </c>
      <c r="M306" s="252">
        <v>2.1603007098707434</v>
      </c>
      <c r="N306" s="252">
        <v>2.3791157651978092</v>
      </c>
      <c r="O306" s="252">
        <v>2.6238440652318045</v>
      </c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147</v>
      </c>
      <c r="C307" s="93"/>
      <c r="D307" s="93"/>
      <c r="E307" s="93"/>
      <c r="F307" s="93"/>
      <c r="G307" s="93"/>
      <c r="H307" s="245"/>
      <c r="I307" s="245"/>
      <c r="J307" s="246"/>
      <c r="K307" s="112">
        <v>10</v>
      </c>
      <c r="L307" s="185">
        <f>+K307</f>
        <v>10</v>
      </c>
      <c r="M307" s="185">
        <f>+L307</f>
        <v>10</v>
      </c>
      <c r="N307" s="185">
        <f>+M307</f>
        <v>10</v>
      </c>
      <c r="O307" s="185">
        <f>+N307</f>
        <v>10</v>
      </c>
      <c r="Q307"/>
      <c r="R307"/>
      <c r="S307"/>
      <c r="T307"/>
      <c r="U307" s="23"/>
      <c r="V307" s="23"/>
      <c r="W307"/>
    </row>
    <row r="308" spans="2:23" s="21" customFormat="1" ht="12.95" customHeight="1" x14ac:dyDescent="0.25">
      <c r="B308" s="183" t="s">
        <v>148</v>
      </c>
      <c r="C308" s="183"/>
      <c r="D308" s="183"/>
      <c r="E308" s="183"/>
      <c r="F308" s="183"/>
      <c r="G308" s="183"/>
      <c r="H308" s="247"/>
      <c r="I308" s="247"/>
      <c r="J308" s="248"/>
      <c r="K308" s="186">
        <f>+K306*K307</f>
        <v>17.884906983196139</v>
      </c>
      <c r="L308" s="186">
        <f>+L306*L307</f>
        <v>19.643188857254209</v>
      </c>
      <c r="M308" s="186">
        <f>+M306*M307</f>
        <v>21.603007098707433</v>
      </c>
      <c r="N308" s="186">
        <f>+N306*N307</f>
        <v>23.791157651978093</v>
      </c>
      <c r="O308" s="186">
        <f>+O306*O307</f>
        <v>26.238440652318044</v>
      </c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145</v>
      </c>
      <c r="C310" s="93"/>
      <c r="D310" s="93"/>
      <c r="E310" s="93"/>
      <c r="F310" s="93"/>
      <c r="G310" s="93"/>
      <c r="H310" s="136"/>
      <c r="I310" s="136"/>
      <c r="J310" s="237"/>
      <c r="K310" s="111">
        <f t="shared" ref="K310:O311" si="34">+K302/K$308</f>
        <v>0.62129932783081698</v>
      </c>
      <c r="L310" s="111">
        <f t="shared" si="34"/>
        <v>0.60811265550136506</v>
      </c>
      <c r="M310" s="111">
        <f t="shared" si="34"/>
        <v>0.59579808678596025</v>
      </c>
      <c r="N310" s="111">
        <f t="shared" si="34"/>
        <v>0.58428063591669399</v>
      </c>
      <c r="O310" s="111">
        <f t="shared" si="34"/>
        <v>0.57349145557303915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146</v>
      </c>
      <c r="C311" s="93"/>
      <c r="D311" s="93"/>
      <c r="E311" s="93"/>
      <c r="F311" s="93"/>
      <c r="G311" s="93"/>
      <c r="H311" s="136"/>
      <c r="I311" s="136"/>
      <c r="J311" s="237"/>
      <c r="K311" s="111">
        <f t="shared" si="34"/>
        <v>-0.2795653343178009</v>
      </c>
      <c r="L311" s="111">
        <f t="shared" si="34"/>
        <v>-0.25454115603808924</v>
      </c>
      <c r="M311" s="111">
        <f t="shared" si="34"/>
        <v>-0.23144925968659075</v>
      </c>
      <c r="N311" s="111">
        <f t="shared" si="34"/>
        <v>-0.21016211456125927</v>
      </c>
      <c r="O311" s="111">
        <f t="shared" si="34"/>
        <v>-0.19056010478116098</v>
      </c>
      <c r="Q311"/>
      <c r="R311"/>
      <c r="S311"/>
      <c r="T311"/>
      <c r="U311" s="23"/>
      <c r="V311" s="23"/>
      <c r="W311"/>
    </row>
    <row r="312" spans="2:23" ht="12.95" customHeight="1" x14ac:dyDescent="0.25">
      <c r="B312" s="183" t="s">
        <v>144</v>
      </c>
      <c r="C312" s="183"/>
      <c r="D312" s="183"/>
      <c r="E312" s="183"/>
      <c r="F312" s="183"/>
      <c r="G312" s="183"/>
      <c r="H312" s="238"/>
      <c r="I312" s="238"/>
      <c r="J312" s="239"/>
      <c r="K312" s="187">
        <f>SUM(K310:K311)</f>
        <v>0.34173399351301609</v>
      </c>
      <c r="L312" s="187">
        <f>SUM(L310:L311)</f>
        <v>0.35357149946327582</v>
      </c>
      <c r="M312" s="187">
        <f>SUM(M310:M311)</f>
        <v>0.3643488270993695</v>
      </c>
      <c r="N312" s="187">
        <f>SUM(N310:N311)</f>
        <v>0.37411852135543472</v>
      </c>
      <c r="O312" s="187">
        <f>SUM(O310:O311)</f>
        <v>0.38293135079187818</v>
      </c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>
        <f>+J298</f>
        <v>101.5551580431645</v>
      </c>
      <c r="L315" s="111">
        <f>+K317</f>
        <v>101.89689203667751</v>
      </c>
      <c r="M315" s="111">
        <f>+L317</f>
        <v>102.25046353614078</v>
      </c>
      <c r="N315" s="111">
        <f>+M317</f>
        <v>102.61481236324015</v>
      </c>
      <c r="O315" s="111">
        <f>+N317</f>
        <v>102.98893088459559</v>
      </c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+B312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>
        <f>+K312</f>
        <v>0.34173399351301609</v>
      </c>
      <c r="L316" s="77">
        <f>+L312</f>
        <v>0.35357149946327582</v>
      </c>
      <c r="M316" s="77">
        <f>+M312</f>
        <v>0.3643488270993695</v>
      </c>
      <c r="N316" s="77">
        <f>+N312</f>
        <v>0.37411852135543472</v>
      </c>
      <c r="O316" s="77">
        <f>+O312</f>
        <v>0.38293135079187818</v>
      </c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>
        <f>SUM(K315:K316)</f>
        <v>101.89689203667751</v>
      </c>
      <c r="L317" s="189">
        <f>SUM(L315:L316)</f>
        <v>102.25046353614078</v>
      </c>
      <c r="M317" s="189">
        <f>SUM(M315:M316)</f>
        <v>102.61481236324015</v>
      </c>
      <c r="N317" s="189">
        <f>SUM(N315:N316)</f>
        <v>102.98893088459559</v>
      </c>
      <c r="O317" s="189">
        <f>SUM(O315:O316)</f>
        <v>103.37186223538747</v>
      </c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H319" s="251"/>
      <c r="I319" s="251"/>
      <c r="J319" s="251"/>
      <c r="Q319"/>
      <c r="R319"/>
      <c r="S319"/>
      <c r="T319"/>
    </row>
    <row r="320" spans="2:23" ht="12.95" customHeight="1" x14ac:dyDescent="0.2">
      <c r="H320" s="23"/>
      <c r="I320" s="23"/>
      <c r="J320" s="23"/>
    </row>
  </sheetData>
  <conditionalFormatting sqref="A247:A262 A264:A272 A328:A1048576 A274:A290 A1:A245 A313:A318 A292:A309">
    <cfRule type="expression" dxfId="70" priority="7">
      <formula>$D$18&gt;0</formula>
    </cfRule>
  </conditionalFormatting>
  <conditionalFormatting sqref="A246">
    <cfRule type="expression" dxfId="69" priority="6">
      <formula>$D$18&gt;0</formula>
    </cfRule>
  </conditionalFormatting>
  <conditionalFormatting sqref="A263">
    <cfRule type="expression" dxfId="68" priority="5">
      <formula>$D$18&gt;0</formula>
    </cfRule>
  </conditionalFormatting>
  <conditionalFormatting sqref="A273">
    <cfRule type="expression" dxfId="67" priority="4">
      <formula>$D$18&gt;0</formula>
    </cfRule>
  </conditionalFormatting>
  <conditionalFormatting sqref="A281">
    <cfRule type="expression" dxfId="66" priority="3">
      <formula>$D$18&gt;0</formula>
    </cfRule>
  </conditionalFormatting>
  <conditionalFormatting sqref="A291">
    <cfRule type="expression" dxfId="65" priority="2">
      <formula>$D$18&gt;0</formula>
    </cfRule>
  </conditionalFormatting>
  <conditionalFormatting sqref="A310:A312">
    <cfRule type="expression" dxfId="64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05D50-05D3-4513-AD7C-89EEB8221B97}">
  <dimension ref="A2:X320"/>
  <sheetViews>
    <sheetView showGridLines="0" topLeftCell="A278" zoomScaleNormal="100" zoomScaleSheetLayoutView="85" workbookViewId="0">
      <selection activeCell="K310" sqref="K310:O310"/>
    </sheetView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>
        <f ca="1">+IF(SUM(H130:O130)=0,0,1)</f>
        <v>0</v>
      </c>
    </row>
    <row r="17" spans="1:15" ht="12.95" customHeight="1" x14ac:dyDescent="0.2">
      <c r="B17" s="1" t="s">
        <v>8</v>
      </c>
      <c r="D17" s="259">
        <f ca="1">+IF(SUM(K225:O225)=0,0,1)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si="0"/>
        <v>1478.7282679410305</v>
      </c>
      <c r="L27" s="147">
        <f t="shared" si="0"/>
        <v>1589.6328880366079</v>
      </c>
      <c r="M27" s="147">
        <f t="shared" si="0"/>
        <v>1712.8294368594452</v>
      </c>
      <c r="N27" s="147">
        <f t="shared" si="0"/>
        <v>1849.8557918082008</v>
      </c>
      <c r="O27" s="147">
        <f t="shared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si="1"/>
        <v>7.2500000000000009E-2</v>
      </c>
      <c r="L28" s="218">
        <f t="shared" si="1"/>
        <v>7.5000000000000178E-2</v>
      </c>
      <c r="M28" s="218">
        <f t="shared" si="1"/>
        <v>7.7500000000000124E-2</v>
      </c>
      <c r="N28" s="218">
        <f t="shared" si="1"/>
        <v>8.0000000000000071E-2</v>
      </c>
      <c r="O28" s="218">
        <f t="shared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si="2"/>
        <v>272.82536543511998</v>
      </c>
      <c r="L29" s="147">
        <f t="shared" si="2"/>
        <v>299.64579939490051</v>
      </c>
      <c r="M29" s="147">
        <f t="shared" si="2"/>
        <v>329.71966659544307</v>
      </c>
      <c r="N29" s="147">
        <f t="shared" si="2"/>
        <v>363.49666309031136</v>
      </c>
      <c r="O29" s="147">
        <f t="shared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si="3"/>
        <v>0.18449999999999991</v>
      </c>
      <c r="L30" s="218">
        <f t="shared" si="3"/>
        <v>0.18849999999999995</v>
      </c>
      <c r="M30" s="218">
        <f t="shared" si="3"/>
        <v>0.19249999999999992</v>
      </c>
      <c r="N30" s="218">
        <f t="shared" si="3"/>
        <v>0.19649999999999995</v>
      </c>
      <c r="O30" s="218">
        <f t="shared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>-K173</f>
        <v>21.441559885144944</v>
      </c>
      <c r="L33" s="160">
        <f>-L173</f>
        <v>23.84449332054912</v>
      </c>
      <c r="M33" s="160">
        <f>-M173</f>
        <v>26.548856271321402</v>
      </c>
      <c r="N33" s="160">
        <f>-N173</f>
        <v>29.597692668931213</v>
      </c>
      <c r="O33" s="160">
        <f>-O173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>+K33/K27</f>
        <v>1.4500000000000001E-2</v>
      </c>
      <c r="L34" s="218">
        <f>+L33/L27</f>
        <v>1.5000000000000001E-2</v>
      </c>
      <c r="M34" s="218">
        <f>+M33/M27</f>
        <v>1.55E-2</v>
      </c>
      <c r="N34" s="218">
        <f>+N33/N27</f>
        <v>1.6E-2</v>
      </c>
      <c r="O34" s="218">
        <f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328</v>
      </c>
      <c r="H38" s="143"/>
      <c r="I38" s="143"/>
      <c r="J38" s="120"/>
      <c r="K38" s="118">
        <f>+K84+K157</f>
        <v>283.93724612209644</v>
      </c>
      <c r="L38" s="118">
        <f t="shared" ref="L38:O38" si="4">+L84+L157</f>
        <v>311.59107113340019</v>
      </c>
      <c r="M38" s="118">
        <f t="shared" si="4"/>
        <v>342.59069689367647</v>
      </c>
      <c r="N38" s="118">
        <f t="shared" si="4"/>
        <v>377.39737581240342</v>
      </c>
      <c r="O38" s="118">
        <f t="shared" si="4"/>
        <v>416.54253489545624</v>
      </c>
    </row>
    <row r="39" spans="2:15" ht="12.95" customHeight="1" x14ac:dyDescent="0.2">
      <c r="B39" s="1" t="s">
        <v>330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>+K168</f>
        <v>-10.511989007322436</v>
      </c>
      <c r="L41" s="137">
        <f>+L168</f>
        <v>-11.660916381467509</v>
      </c>
      <c r="M41" s="137">
        <f>+M168</f>
        <v>-12.951044653209886</v>
      </c>
      <c r="N41" s="137">
        <f>+N168</f>
        <v>-14.402236689579912</v>
      </c>
      <c r="O41" s="137">
        <f>+O168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>-K33</f>
        <v>-21.441559885144944</v>
      </c>
      <c r="L42" s="137">
        <f>-L33</f>
        <v>-23.84449332054912</v>
      </c>
      <c r="M42" s="137">
        <f>-M33</f>
        <v>-26.548856271321402</v>
      </c>
      <c r="N42" s="137">
        <f>-N33</f>
        <v>-29.597692668931213</v>
      </c>
      <c r="O42" s="137">
        <f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5">+K121</f>
        <v>0</v>
      </c>
      <c r="L49" s="137">
        <f t="shared" ca="1" si="5"/>
        <v>0</v>
      </c>
      <c r="M49" s="137">
        <f t="shared" ca="1" si="5"/>
        <v>0</v>
      </c>
      <c r="N49" s="137">
        <f t="shared" ca="1" si="5"/>
        <v>0</v>
      </c>
      <c r="O49" s="137">
        <f t="shared" ca="1" si="5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5"/>
        <v>50</v>
      </c>
      <c r="L50" s="140">
        <f t="shared" si="5"/>
        <v>50</v>
      </c>
      <c r="M50" s="140">
        <f t="shared" si="5"/>
        <v>50</v>
      </c>
      <c r="N50" s="140">
        <f t="shared" si="5"/>
        <v>50</v>
      </c>
      <c r="O50" s="140">
        <f t="shared" si="5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1012.785947090466</v>
      </c>
      <c r="L52" s="140">
        <f t="shared" ref="L52:O52" ca="1" si="6">+SUM(L125:L127)</f>
        <v>1219.9109434886702</v>
      </c>
      <c r="M52" s="140">
        <f t="shared" ca="1" si="6"/>
        <v>1448.7232675914715</v>
      </c>
      <c r="N52" s="140">
        <f t="shared" ca="1" si="6"/>
        <v>1701.8488422858063</v>
      </c>
      <c r="O52" s="140">
        <f t="shared" ca="1" si="6"/>
        <v>1982.2757939329481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1062.7859470904659</v>
      </c>
      <c r="L53" s="147">
        <f ca="1">SUM(L51:L52)</f>
        <v>1269.9109434886702</v>
      </c>
      <c r="M53" s="147">
        <f ca="1">SUM(M51:M52)</f>
        <v>1498.7232675914715</v>
      </c>
      <c r="N53" s="147">
        <f ca="1">SUM(N51:N52)</f>
        <v>1751.8488422858063</v>
      </c>
      <c r="O53" s="147">
        <f ca="1">SUM(O51:O52)</f>
        <v>2032.2757939329481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285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21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21" ht="12.95" customHeight="1" x14ac:dyDescent="0.2">
      <c r="B66" s="1" t="s">
        <v>33</v>
      </c>
      <c r="H66" s="53">
        <f t="shared" ref="H66:O66" si="7">SUM(H64:H65)</f>
        <v>529.94622062969995</v>
      </c>
      <c r="I66" s="53">
        <f t="shared" si="7"/>
        <v>566.96986070108994</v>
      </c>
      <c r="J66" s="54">
        <f t="shared" si="7"/>
        <v>609.41528618175801</v>
      </c>
      <c r="K66" s="134">
        <f t="shared" si="7"/>
        <v>656.55535096581741</v>
      </c>
      <c r="L66" s="135">
        <f t="shared" si="7"/>
        <v>708.97626806432709</v>
      </c>
      <c r="M66" s="135">
        <f t="shared" si="7"/>
        <v>767.34758771303132</v>
      </c>
      <c r="N66" s="135">
        <f t="shared" si="7"/>
        <v>832.43510631369031</v>
      </c>
      <c r="O66" s="135">
        <f t="shared" si="7"/>
        <v>905.11594037383452</v>
      </c>
    </row>
    <row r="67" spans="2:21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21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8">+SUM(H66:H67)</f>
        <v>194.19262194307487</v>
      </c>
      <c r="I68" s="55">
        <f t="shared" si="8"/>
        <v>211.32512989767895</v>
      </c>
      <c r="J68" s="56">
        <f t="shared" si="8"/>
        <v>230.9435756458019</v>
      </c>
      <c r="K68" s="196">
        <f t="shared" si="8"/>
        <v>252.86253381791607</v>
      </c>
      <c r="L68" s="196">
        <f t="shared" si="8"/>
        <v>277.39093896238802</v>
      </c>
      <c r="M68" s="196">
        <f t="shared" si="8"/>
        <v>304.88363976098111</v>
      </c>
      <c r="N68" s="196">
        <f t="shared" si="8"/>
        <v>335.74882621318835</v>
      </c>
      <c r="O68" s="196">
        <f t="shared" si="8"/>
        <v>370.45674550698971</v>
      </c>
    </row>
    <row r="69" spans="2:21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21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21" ht="12.95" customHeight="1" x14ac:dyDescent="0.2">
      <c r="B71" s="1" t="s">
        <v>37</v>
      </c>
      <c r="H71" s="53">
        <f t="shared" ref="H71:O71" si="9">+SUM(H68:H70)</f>
        <v>195.11265228478928</v>
      </c>
      <c r="I71" s="53">
        <f t="shared" si="9"/>
        <v>213.63592421907794</v>
      </c>
      <c r="J71" s="54">
        <f t="shared" si="9"/>
        <v>234.77863638934826</v>
      </c>
      <c r="K71" s="134">
        <f t="shared" ca="1" si="9"/>
        <v>258.37410700830594</v>
      </c>
      <c r="L71" s="134">
        <f t="shared" ca="1" si="9"/>
        <v>284.75067519161416</v>
      </c>
      <c r="M71" s="134">
        <f t="shared" ca="1" si="9"/>
        <v>314.28349047591439</v>
      </c>
      <c r="N71" s="134">
        <f t="shared" ca="1" si="9"/>
        <v>347.40378658925005</v>
      </c>
      <c r="O71" s="134">
        <f t="shared" ca="1" si="9"/>
        <v>384.60800871333856</v>
      </c>
    </row>
    <row r="72" spans="2:21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21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10">+SUM(H71:H72)</f>
        <v>144.38336269074406</v>
      </c>
      <c r="I73" s="55">
        <f t="shared" si="10"/>
        <v>158.09058392211767</v>
      </c>
      <c r="J73" s="56">
        <f t="shared" si="10"/>
        <v>173.73619092811771</v>
      </c>
      <c r="K73" s="145">
        <f t="shared" ca="1" si="10"/>
        <v>191.19683918614641</v>
      </c>
      <c r="L73" s="145">
        <f t="shared" ca="1" si="10"/>
        <v>210.71549964179448</v>
      </c>
      <c r="M73" s="145">
        <f t="shared" ca="1" si="10"/>
        <v>232.56978295217664</v>
      </c>
      <c r="N73" s="145">
        <f t="shared" ca="1" si="10"/>
        <v>257.07880207604501</v>
      </c>
      <c r="O73" s="145">
        <f t="shared" ca="1" si="10"/>
        <v>284.60992644787052</v>
      </c>
    </row>
    <row r="74" spans="2:21" ht="12.95" customHeight="1" x14ac:dyDescent="0.2">
      <c r="H74" s="57"/>
      <c r="I74" s="57"/>
      <c r="J74" s="58"/>
      <c r="K74" s="198"/>
      <c r="L74" s="199"/>
      <c r="M74" s="199"/>
      <c r="N74" s="199"/>
      <c r="O74" s="199"/>
      <c r="Q74" s="46"/>
      <c r="R74" s="46"/>
      <c r="S74" s="46"/>
      <c r="T74" s="46"/>
      <c r="U74" s="46"/>
    </row>
    <row r="75" spans="2:21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>+K298</f>
        <v>101.89686926219814</v>
      </c>
      <c r="L75" s="193">
        <f>+L298</f>
        <v>102.25037131335471</v>
      </c>
      <c r="M75" s="193">
        <f>+M298</f>
        <v>102.61458004154703</v>
      </c>
      <c r="N75" s="193">
        <f>+N298</f>
        <v>102.9884647971969</v>
      </c>
      <c r="O75" s="193">
        <f>+O298</f>
        <v>103.37104759455143</v>
      </c>
    </row>
    <row r="76" spans="2:21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1">+H73/H75</f>
        <v>1.4308113800816931</v>
      </c>
      <c r="I76" s="126">
        <f t="shared" si="11"/>
        <v>1.5617690450035633</v>
      </c>
      <c r="J76" s="127">
        <f t="shared" si="11"/>
        <v>1.7107569352043521</v>
      </c>
      <c r="K76" s="200">
        <f t="shared" ca="1" si="11"/>
        <v>1.8763759924180214</v>
      </c>
      <c r="L76" s="200">
        <f t="shared" ca="1" si="11"/>
        <v>2.0607797989900636</v>
      </c>
      <c r="M76" s="200">
        <f t="shared" ca="1" si="11"/>
        <v>2.266439943115421</v>
      </c>
      <c r="N76" s="200">
        <f t="shared" ca="1" si="11"/>
        <v>2.4961902537558953</v>
      </c>
      <c r="O76" s="200">
        <f t="shared" ca="1" si="11"/>
        <v>2.7532847259533044</v>
      </c>
    </row>
    <row r="77" spans="2:21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21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>+K300</f>
        <v>106.89686926219814</v>
      </c>
      <c r="L78" s="193">
        <f>+L300</f>
        <v>107.25037131335471</v>
      </c>
      <c r="M78" s="193">
        <f>+M300</f>
        <v>107.61458004154703</v>
      </c>
      <c r="N78" s="193">
        <f>+N300</f>
        <v>107.9884647971969</v>
      </c>
      <c r="O78" s="193">
        <f>+O300</f>
        <v>108.37104759455143</v>
      </c>
    </row>
    <row r="79" spans="2:21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2">+H73/H78</f>
        <v>1.3632630078415335</v>
      </c>
      <c r="I79" s="126">
        <f t="shared" si="12"/>
        <v>1.4882569611323133</v>
      </c>
      <c r="J79" s="127">
        <f t="shared" si="12"/>
        <v>1.6304812842353329</v>
      </c>
      <c r="K79" s="200">
        <f t="shared" ca="1" si="12"/>
        <v>1.7886102792886864</v>
      </c>
      <c r="L79" s="200">
        <f t="shared" ca="1" si="12"/>
        <v>1.9647064813057333</v>
      </c>
      <c r="M79" s="200">
        <f t="shared" ca="1" si="12"/>
        <v>2.1611363707630309</v>
      </c>
      <c r="N79" s="200">
        <f t="shared" ca="1" si="12"/>
        <v>2.3806135457045419</v>
      </c>
      <c r="O79" s="200">
        <f t="shared" ca="1" si="12"/>
        <v>2.6262542696152718</v>
      </c>
    </row>
    <row r="80" spans="2:21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13">+H68</f>
        <v>194.19262194307487</v>
      </c>
      <c r="I82" s="53">
        <f t="shared" si="13"/>
        <v>211.32512989767895</v>
      </c>
      <c r="J82" s="54">
        <f t="shared" si="13"/>
        <v>230.9435756458019</v>
      </c>
      <c r="K82" s="197">
        <f t="shared" si="13"/>
        <v>252.86253381791607</v>
      </c>
      <c r="L82" s="197">
        <f t="shared" si="13"/>
        <v>277.39093896238802</v>
      </c>
      <c r="M82" s="197">
        <f t="shared" si="13"/>
        <v>304.88363976098111</v>
      </c>
      <c r="N82" s="197">
        <f t="shared" si="13"/>
        <v>335.74882621318835</v>
      </c>
      <c r="O82" s="197">
        <f t="shared" si="13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si="14"/>
        <v>272.82536543511998</v>
      </c>
      <c r="L84" s="197">
        <f t="shared" si="14"/>
        <v>299.64579939490051</v>
      </c>
      <c r="M84" s="197">
        <f t="shared" si="14"/>
        <v>329.71966659544307</v>
      </c>
      <c r="N84" s="197">
        <f t="shared" si="14"/>
        <v>363.49666309031136</v>
      </c>
      <c r="O84" s="197">
        <f t="shared" si="14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si="15"/>
        <v>272.82536543511998</v>
      </c>
      <c r="L86" s="145">
        <f t="shared" si="15"/>
        <v>299.64579939490051</v>
      </c>
      <c r="M86" s="145">
        <f t="shared" si="15"/>
        <v>329.71966659544307</v>
      </c>
      <c r="N86" s="145">
        <f t="shared" si="15"/>
        <v>363.49666309031136</v>
      </c>
      <c r="O86" s="145">
        <f t="shared" si="15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16">+H86/H64</f>
        <v>0.17422744656671477</v>
      </c>
      <c r="I92" s="63">
        <f t="shared" si="16"/>
        <v>0.17956985466122871</v>
      </c>
      <c r="J92" s="64">
        <f t="shared" si="16"/>
        <v>0.18231321346059967</v>
      </c>
      <c r="K92" s="190">
        <f t="shared" si="16"/>
        <v>0.18449999999999991</v>
      </c>
      <c r="L92" s="63">
        <f t="shared" si="16"/>
        <v>0.18849999999999995</v>
      </c>
      <c r="M92" s="63">
        <f t="shared" si="16"/>
        <v>0.19249999999999992</v>
      </c>
      <c r="N92" s="63">
        <f t="shared" si="16"/>
        <v>0.19649999999999995</v>
      </c>
      <c r="O92" s="63">
        <f t="shared" si="16"/>
        <v>0.20049999999999993</v>
      </c>
    </row>
    <row r="93" spans="2:15" ht="12.95" customHeight="1" x14ac:dyDescent="0.2">
      <c r="B93" s="1" t="s">
        <v>152</v>
      </c>
      <c r="I93" s="63">
        <f t="shared" ref="I93:O93" si="17">+I86/H86-1</f>
        <v>9.7656534505765391E-2</v>
      </c>
      <c r="J93" s="64">
        <f t="shared" si="17"/>
        <v>8.6346807880781418E-2</v>
      </c>
      <c r="K93" s="190">
        <f t="shared" si="17"/>
        <v>8.536428185312861E-2</v>
      </c>
      <c r="L93" s="63">
        <f t="shared" si="17"/>
        <v>9.8306233062330994E-2</v>
      </c>
      <c r="M93" s="63">
        <f t="shared" si="17"/>
        <v>0.10036472148541109</v>
      </c>
      <c r="N93" s="63">
        <f t="shared" si="17"/>
        <v>0.10244155844155856</v>
      </c>
      <c r="O93" s="63">
        <f t="shared" si="17"/>
        <v>0.10453562340966926</v>
      </c>
    </row>
    <row r="94" spans="2:15" ht="12.95" customHeight="1" x14ac:dyDescent="0.2">
      <c r="B94" s="1" t="s">
        <v>136</v>
      </c>
      <c r="I94" s="63">
        <f t="shared" ref="I94:O94" si="18">+I73/H73-1</f>
        <v>9.493629304598783E-2</v>
      </c>
      <c r="J94" s="64">
        <f t="shared" si="18"/>
        <v>9.896609031254977E-2</v>
      </c>
      <c r="K94" s="190">
        <f t="shared" ca="1" si="18"/>
        <v>0.10050092709384262</v>
      </c>
      <c r="L94" s="63">
        <f t="shared" ca="1" si="18"/>
        <v>0.10208673186613204</v>
      </c>
      <c r="M94" s="63">
        <f t="shared" ca="1" si="18"/>
        <v>0.10371464532762564</v>
      </c>
      <c r="N94" s="63">
        <f t="shared" ca="1" si="18"/>
        <v>0.10538350602884705</v>
      </c>
      <c r="O94" s="63">
        <f t="shared" ca="1" si="18"/>
        <v>0.10709216065073179</v>
      </c>
    </row>
    <row r="95" spans="2:15" ht="12.95" customHeight="1" x14ac:dyDescent="0.2">
      <c r="B95" s="1" t="s">
        <v>137</v>
      </c>
      <c r="I95" s="63">
        <f t="shared" ref="I95:O95" si="19">+I79/H79-1</f>
        <v>9.168733587855793E-2</v>
      </c>
      <c r="J95" s="64">
        <f t="shared" si="19"/>
        <v>9.5564359393159437E-2</v>
      </c>
      <c r="K95" s="190">
        <f t="shared" ca="1" si="19"/>
        <v>9.6983017580305031E-2</v>
      </c>
      <c r="L95" s="63">
        <f t="shared" ca="1" si="19"/>
        <v>9.8454204393300548E-2</v>
      </c>
      <c r="M95" s="63">
        <f t="shared" ca="1" si="19"/>
        <v>9.9979254573818732E-2</v>
      </c>
      <c r="N95" s="63">
        <f t="shared" ca="1" si="19"/>
        <v>0.10155637465118428</v>
      </c>
      <c r="O95" s="63">
        <f t="shared" ca="1" si="19"/>
        <v>0.1031837882103761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0">+H83/H64</f>
        <v>1.0999999999999999E-2</v>
      </c>
      <c r="I97" s="65">
        <f t="shared" si="20"/>
        <v>1.2E-2</v>
      </c>
      <c r="J97" s="167">
        <f t="shared" si="20"/>
        <v>1.2999999999999999E-2</v>
      </c>
      <c r="K97" s="76">
        <f t="shared" si="20"/>
        <v>1.35E-2</v>
      </c>
      <c r="L97" s="76">
        <f t="shared" si="20"/>
        <v>1.4E-2</v>
      </c>
      <c r="M97" s="76">
        <f t="shared" si="20"/>
        <v>1.4500000000000001E-2</v>
      </c>
      <c r="N97" s="76">
        <f t="shared" si="20"/>
        <v>1.5000000000000001E-2</v>
      </c>
      <c r="O97" s="76">
        <f t="shared" si="20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1">+SUM(H103:H106)</f>
        <v>675.32399663851754</v>
      </c>
      <c r="I107" s="147">
        <f t="shared" si="21"/>
        <v>837.46596294440201</v>
      </c>
      <c r="J107" s="123">
        <f t="shared" si="21"/>
        <v>1016.3200283350651</v>
      </c>
      <c r="K107" s="154">
        <f t="shared" ca="1" si="21"/>
        <v>1213.4572274135542</v>
      </c>
      <c r="L107" s="147">
        <f t="shared" ca="1" si="21"/>
        <v>1431.0273834911868</v>
      </c>
      <c r="M107" s="147">
        <f t="shared" ca="1" si="21"/>
        <v>1671.4697333470026</v>
      </c>
      <c r="N107" s="147">
        <f t="shared" ca="1" si="21"/>
        <v>1937.5561081910107</v>
      </c>
      <c r="O107" s="147">
        <f t="shared" ca="1" si="21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2">+SUM(H107:H111)</f>
        <v>737.15420182016749</v>
      </c>
      <c r="I112" s="145">
        <f t="shared" si="22"/>
        <v>903.73053547447171</v>
      </c>
      <c r="J112" s="146">
        <f t="shared" si="22"/>
        <v>1087.5713585035742</v>
      </c>
      <c r="K112" s="145">
        <f t="shared" ca="1" si="22"/>
        <v>1290.1857119358119</v>
      </c>
      <c r="L112" s="145">
        <f t="shared" ca="1" si="22"/>
        <v>1513.7816857053044</v>
      </c>
      <c r="M112" s="145">
        <f t="shared" ca="1" si="22"/>
        <v>1760.8647269508929</v>
      </c>
      <c r="N112" s="145">
        <f t="shared" ca="1" si="22"/>
        <v>2034.2820117846595</v>
      </c>
      <c r="O112" s="145">
        <f t="shared" ca="1" si="22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3">SUM(H114:H116)</f>
        <v>175.29699116643044</v>
      </c>
      <c r="I117" s="147">
        <f t="shared" si="23"/>
        <v>186.21789694050051</v>
      </c>
      <c r="J117" s="148">
        <f t="shared" si="23"/>
        <v>198.7466131689653</v>
      </c>
      <c r="K117" s="149">
        <f t="shared" si="23"/>
        <v>212.61248216593572</v>
      </c>
      <c r="L117" s="147">
        <f t="shared" si="23"/>
        <v>227.97441333626784</v>
      </c>
      <c r="M117" s="147">
        <f t="shared" si="23"/>
        <v>245.01316499082679</v>
      </c>
      <c r="N117" s="147">
        <f t="shared" si="23"/>
        <v>263.93461158077093</v>
      </c>
      <c r="O117" s="147">
        <f t="shared" si="23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4">SUM(H121:H122)</f>
        <v>50</v>
      </c>
      <c r="I123" s="154">
        <f t="shared" si="24"/>
        <v>50</v>
      </c>
      <c r="J123" s="123">
        <f t="shared" si="24"/>
        <v>50</v>
      </c>
      <c r="K123" s="154">
        <f t="shared" ca="1" si="24"/>
        <v>50</v>
      </c>
      <c r="L123" s="154">
        <f t="shared" ca="1" si="24"/>
        <v>50</v>
      </c>
      <c r="M123" s="154">
        <f t="shared" ca="1" si="24"/>
        <v>50</v>
      </c>
      <c r="N123" s="154">
        <f t="shared" ca="1" si="24"/>
        <v>50</v>
      </c>
      <c r="O123" s="154">
        <f t="shared" ca="1" si="24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25">+L288</f>
        <v>1076.0107348715044</v>
      </c>
      <c r="M127" s="136">
        <f t="shared" ca="1" si="25"/>
        <v>1296.9520286760721</v>
      </c>
      <c r="N127" s="136">
        <f t="shared" ca="1" si="25"/>
        <v>1541.1768906483151</v>
      </c>
      <c r="O127" s="136">
        <f t="shared" ca="1" si="25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6">+SUM(H117,H119,H123,H125:H127)</f>
        <v>737.15420182016749</v>
      </c>
      <c r="I128" s="155">
        <f t="shared" si="26"/>
        <v>903.73053547447182</v>
      </c>
      <c r="J128" s="156">
        <f t="shared" si="26"/>
        <v>1087.5713585035739</v>
      </c>
      <c r="K128" s="155">
        <f t="shared" ca="1" si="26"/>
        <v>1290.1857119358119</v>
      </c>
      <c r="L128" s="155">
        <f t="shared" ca="1" si="26"/>
        <v>1513.7816857053042</v>
      </c>
      <c r="M128" s="155">
        <f t="shared" ca="1" si="26"/>
        <v>1760.8647269508926</v>
      </c>
      <c r="N128" s="155">
        <f t="shared" ca="1" si="26"/>
        <v>2034.2820117846593</v>
      </c>
      <c r="O128" s="155">
        <f t="shared" ca="1" si="26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hidden="1" customHeight="1" outlineLevel="1" x14ac:dyDescent="0.2">
      <c r="B130" s="1" t="s">
        <v>65</v>
      </c>
      <c r="H130" s="137">
        <f t="shared" ref="H130:O130" si="27">+IF(ABS(H112-H128)&gt;0.001,H112-H128,0)</f>
        <v>0</v>
      </c>
      <c r="I130" s="137">
        <f t="shared" si="27"/>
        <v>0</v>
      </c>
      <c r="J130" s="157">
        <f t="shared" si="27"/>
        <v>0</v>
      </c>
      <c r="K130" s="136">
        <f t="shared" ca="1" si="27"/>
        <v>0</v>
      </c>
      <c r="L130" s="137">
        <f t="shared" ca="1" si="27"/>
        <v>0</v>
      </c>
      <c r="M130" s="137">
        <f t="shared" ca="1" si="27"/>
        <v>0</v>
      </c>
      <c r="N130" s="137">
        <f t="shared" ca="1" si="27"/>
        <v>0</v>
      </c>
      <c r="O130" s="137">
        <f t="shared" ca="1" si="27"/>
        <v>0</v>
      </c>
    </row>
    <row r="131" spans="2:15" ht="12.95" hidden="1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hidden="1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hidden="1" customHeight="1" outlineLevel="1" x14ac:dyDescent="0.2">
      <c r="B133" s="1" t="str">
        <f>+B64</f>
        <v>Revenue</v>
      </c>
      <c r="H133" s="137">
        <f t="shared" ref="H133:O133" si="28">+H64</f>
        <v>1209.9228781500001</v>
      </c>
      <c r="I133" s="137">
        <f t="shared" si="28"/>
        <v>1288.5678652297499</v>
      </c>
      <c r="J133" s="157">
        <f t="shared" si="28"/>
        <v>1378.7676157958326</v>
      </c>
      <c r="K133" s="136">
        <f t="shared" si="28"/>
        <v>1478.7282679410305</v>
      </c>
      <c r="L133" s="137">
        <f t="shared" si="28"/>
        <v>1589.6328880366079</v>
      </c>
      <c r="M133" s="137">
        <f t="shared" si="28"/>
        <v>1712.8294368594452</v>
      </c>
      <c r="N133" s="137">
        <f t="shared" si="28"/>
        <v>1849.8557918082008</v>
      </c>
      <c r="O133" s="137">
        <f t="shared" si="28"/>
        <v>2002.4688946323774</v>
      </c>
    </row>
    <row r="134" spans="2:15" ht="12.95" hidden="1" customHeight="1" outlineLevel="1" x14ac:dyDescent="0.2">
      <c r="B134" s="1" t="str">
        <f>+B65</f>
        <v>Cost of Goods Sold (Cost of Sales)</v>
      </c>
      <c r="H134" s="137">
        <f t="shared" ref="H134:O134" si="29">-H65</f>
        <v>679.97665752030014</v>
      </c>
      <c r="I134" s="137">
        <f t="shared" si="29"/>
        <v>721.59800452866</v>
      </c>
      <c r="J134" s="157">
        <f t="shared" si="29"/>
        <v>769.35232961407462</v>
      </c>
      <c r="K134" s="136">
        <f t="shared" si="29"/>
        <v>822.17291697521307</v>
      </c>
      <c r="L134" s="137">
        <f t="shared" si="29"/>
        <v>880.65661997228085</v>
      </c>
      <c r="M134" s="137">
        <f t="shared" si="29"/>
        <v>945.48184914641388</v>
      </c>
      <c r="N134" s="137">
        <f t="shared" si="29"/>
        <v>1017.4206854945105</v>
      </c>
      <c r="O134" s="137">
        <f t="shared" si="29"/>
        <v>1097.3529542585429</v>
      </c>
    </row>
    <row r="135" spans="2:15" ht="12.95" hidden="1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30">-H67</f>
        <v>335.75359868662508</v>
      </c>
      <c r="I135" s="140">
        <f t="shared" si="30"/>
        <v>355.64473080341099</v>
      </c>
      <c r="J135" s="122">
        <f t="shared" si="30"/>
        <v>378.47171053595611</v>
      </c>
      <c r="K135" s="140">
        <f t="shared" si="30"/>
        <v>403.69281714790134</v>
      </c>
      <c r="L135" s="140">
        <f t="shared" si="30"/>
        <v>431.58532910193907</v>
      </c>
      <c r="M135" s="140">
        <f t="shared" si="30"/>
        <v>462.46394795205021</v>
      </c>
      <c r="N135" s="140">
        <f t="shared" si="30"/>
        <v>496.68628010050196</v>
      </c>
      <c r="O135" s="140">
        <f t="shared" si="30"/>
        <v>534.65919486684481</v>
      </c>
    </row>
    <row r="136" spans="2:15" ht="12.95" hidden="1" customHeight="1" outlineLevel="1" x14ac:dyDescent="0.2">
      <c r="J136" s="161"/>
      <c r="K136" s="93"/>
    </row>
    <row r="137" spans="2:15" s="21" customFormat="1" ht="12.95" customHeight="1" collapsed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31">+(H107-H103)-H117</f>
        <v>91.6020511818584</v>
      </c>
      <c r="I148" s="17">
        <f t="shared" si="31"/>
        <v>97.514156014335072</v>
      </c>
      <c r="J148" s="40">
        <f t="shared" si="31"/>
        <v>104.29517644639051</v>
      </c>
      <c r="K148" s="115">
        <f t="shared" ca="1" si="31"/>
        <v>111.80834588935704</v>
      </c>
      <c r="L148" s="17">
        <f t="shared" ca="1" si="31"/>
        <v>120.14212366795709</v>
      </c>
      <c r="M148" s="17">
        <f t="shared" ca="1" si="31"/>
        <v>129.39727185648201</v>
      </c>
      <c r="N148" s="17">
        <f t="shared" ca="1" si="31"/>
        <v>139.68871789759919</v>
      </c>
      <c r="O148" s="17">
        <f t="shared" ca="1" si="31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32">+H148/H133</f>
        <v>7.570900000000004E-2</v>
      </c>
      <c r="I149" s="76">
        <f t="shared" si="32"/>
        <v>7.5676383561643787E-2</v>
      </c>
      <c r="J149" s="167">
        <f t="shared" si="32"/>
        <v>7.5643767123287659E-2</v>
      </c>
      <c r="K149" s="76">
        <f t="shared" ca="1" si="32"/>
        <v>7.5611150684931516E-2</v>
      </c>
      <c r="L149" s="76">
        <f t="shared" ca="1" si="32"/>
        <v>7.5578534246575249E-2</v>
      </c>
      <c r="M149" s="76">
        <f t="shared" ca="1" si="32"/>
        <v>7.554591780821919E-2</v>
      </c>
      <c r="N149" s="76">
        <f t="shared" ca="1" si="32"/>
        <v>7.5513301369862992E-2</v>
      </c>
      <c r="O149" s="76">
        <f t="shared" ca="1" si="32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33">+(J104-K104)</f>
        <v>-8.2159440119340701</v>
      </c>
      <c r="L160" s="137">
        <f t="shared" si="33"/>
        <v>-9.1154482270337525</v>
      </c>
      <c r="M160" s="137">
        <f t="shared" si="33"/>
        <v>-10.125743738863349</v>
      </c>
      <c r="N160" s="137">
        <f t="shared" si="33"/>
        <v>-11.262440132774429</v>
      </c>
      <c r="O160" s="137">
        <f t="shared" si="33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33"/>
        <v>-10.564117472227679</v>
      </c>
      <c r="L161" s="137">
        <f t="shared" si="33"/>
        <v>-11.696740599413573</v>
      </c>
      <c r="M161" s="137">
        <f t="shared" si="33"/>
        <v>-12.965045834826583</v>
      </c>
      <c r="N161" s="137">
        <f t="shared" si="33"/>
        <v>-14.387767269619332</v>
      </c>
      <c r="O161" s="137">
        <f t="shared" si="33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33"/>
        <v>-2.598976955775143</v>
      </c>
      <c r="L162" s="137">
        <f t="shared" si="33"/>
        <v>-2.8835201224850167</v>
      </c>
      <c r="M162" s="137">
        <f t="shared" si="33"/>
        <v>-3.2031102693937683</v>
      </c>
      <c r="N162" s="137">
        <f t="shared" si="33"/>
        <v>-3.5626852286676467</v>
      </c>
      <c r="O162" s="137">
        <f t="shared" si="33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34">+K114-J114</f>
        <v>4.3414181392716529</v>
      </c>
      <c r="L164" s="137">
        <f t="shared" si="34"/>
        <v>4.8068796983891389</v>
      </c>
      <c r="M164" s="137">
        <f t="shared" si="34"/>
        <v>5.3281010280109342</v>
      </c>
      <c r="N164" s="137">
        <f t="shared" si="34"/>
        <v>5.9127810697065684</v>
      </c>
      <c r="O164" s="137">
        <f t="shared" si="34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34"/>
        <v>4.5264182504388515</v>
      </c>
      <c r="L165" s="137">
        <f t="shared" si="34"/>
        <v>5.0098204671641327</v>
      </c>
      <c r="M165" s="137">
        <f t="shared" si="34"/>
        <v>5.5508231854061449</v>
      </c>
      <c r="N165" s="137">
        <f t="shared" si="34"/>
        <v>6.1573477727998238</v>
      </c>
      <c r="O165" s="137">
        <f t="shared" si="34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34"/>
        <v>4.9980326072598871</v>
      </c>
      <c r="L166" s="137">
        <f t="shared" si="34"/>
        <v>5.5452310047788842</v>
      </c>
      <c r="M166" s="137">
        <f t="shared" si="34"/>
        <v>6.1598274411418572</v>
      </c>
      <c r="N166" s="137">
        <f t="shared" si="34"/>
        <v>6.8513177474377756</v>
      </c>
      <c r="O166" s="137">
        <f t="shared" si="34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35">+L192</f>
        <v>0</v>
      </c>
      <c r="M177" s="160">
        <f t="shared" si="35"/>
        <v>0</v>
      </c>
      <c r="N177" s="160">
        <f t="shared" si="35"/>
        <v>0</v>
      </c>
      <c r="O177" s="160">
        <f t="shared" si="35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36">+L210</f>
        <v>0</v>
      </c>
      <c r="M178" s="136">
        <f t="shared" ca="1" si="36"/>
        <v>0</v>
      </c>
      <c r="N178" s="136">
        <f t="shared" ca="1" si="36"/>
        <v>0</v>
      </c>
      <c r="O178" s="136">
        <f t="shared" ca="1" si="36"/>
        <v>0</v>
      </c>
    </row>
    <row r="179" spans="1:20" s="93" customFormat="1" ht="12.95" customHeight="1" x14ac:dyDescent="0.2">
      <c r="B179" s="93" t="s">
        <v>112</v>
      </c>
      <c r="K179" s="136">
        <f t="shared" ref="K179:O181" si="37">+K198</f>
        <v>0</v>
      </c>
      <c r="L179" s="136">
        <f t="shared" si="37"/>
        <v>0</v>
      </c>
      <c r="M179" s="136">
        <f t="shared" si="37"/>
        <v>0</v>
      </c>
      <c r="N179" s="136">
        <f t="shared" si="37"/>
        <v>0</v>
      </c>
      <c r="O179" s="136">
        <f t="shared" si="37"/>
        <v>0</v>
      </c>
    </row>
    <row r="180" spans="1:20" s="93" customFormat="1" ht="12.95" customHeight="1" x14ac:dyDescent="0.2">
      <c r="B180" s="93" t="s">
        <v>113</v>
      </c>
      <c r="K180" s="136">
        <f t="shared" si="37"/>
        <v>-5</v>
      </c>
      <c r="L180" s="136">
        <f t="shared" si="37"/>
        <v>-5</v>
      </c>
      <c r="M180" s="136">
        <f t="shared" si="37"/>
        <v>-5</v>
      </c>
      <c r="N180" s="136">
        <f t="shared" si="37"/>
        <v>-5</v>
      </c>
      <c r="O180" s="136">
        <f t="shared" si="37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37"/>
        <v>-9.5598419593073203</v>
      </c>
      <c r="L181" s="136">
        <f t="shared" ca="1" si="37"/>
        <v>-10.535774982089725</v>
      </c>
      <c r="M181" s="136">
        <f t="shared" ca="1" si="37"/>
        <v>-11.628489147608832</v>
      </c>
      <c r="N181" s="136">
        <f t="shared" ca="1" si="37"/>
        <v>-12.853940103802252</v>
      </c>
      <c r="O181" s="136">
        <f t="shared" ca="1" si="37"/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326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325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hidden="1" customHeight="1" outlineLevel="1" x14ac:dyDescent="0.2"/>
    <row r="225" spans="1:15" ht="12.95" hidden="1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6" spans="1:15" ht="12.95" customHeight="1" collapsed="1" x14ac:dyDescent="0.2"/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hidden="1" customHeight="1" outlineLevel="1" x14ac:dyDescent="0.2"/>
    <row r="248" spans="1:15" ht="12.95" hidden="1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hidden="1" customHeight="1" outlineLevel="1" x14ac:dyDescent="0.2">
      <c r="B249" s="1" t="str">
        <f>+B133</f>
        <v>Revenue</v>
      </c>
      <c r="H249" s="137">
        <f t="shared" ref="H249:O251" si="38">+H133</f>
        <v>1209.9228781500001</v>
      </c>
      <c r="I249" s="137">
        <f t="shared" si="38"/>
        <v>1288.5678652297499</v>
      </c>
      <c r="J249" s="136">
        <f t="shared" si="38"/>
        <v>1378.7676157958326</v>
      </c>
      <c r="K249" s="136">
        <f t="shared" si="38"/>
        <v>1478.7282679410305</v>
      </c>
      <c r="L249" s="137">
        <f t="shared" si="38"/>
        <v>1589.6328880366079</v>
      </c>
      <c r="M249" s="137">
        <f t="shared" si="38"/>
        <v>1712.8294368594452</v>
      </c>
      <c r="N249" s="137">
        <f t="shared" si="38"/>
        <v>1849.8557918082008</v>
      </c>
      <c r="O249" s="137">
        <f t="shared" si="38"/>
        <v>2002.4688946323774</v>
      </c>
    </row>
    <row r="250" spans="1:15" ht="12.95" hidden="1" customHeight="1" outlineLevel="1" x14ac:dyDescent="0.2">
      <c r="B250" s="1" t="str">
        <f>+B134</f>
        <v>Cost of Goods Sold (Cost of Sales)</v>
      </c>
      <c r="H250" s="137">
        <f t="shared" si="38"/>
        <v>679.97665752030014</v>
      </c>
      <c r="I250" s="137">
        <f t="shared" si="38"/>
        <v>721.59800452866</v>
      </c>
      <c r="J250" s="136">
        <f t="shared" si="38"/>
        <v>769.35232961407462</v>
      </c>
      <c r="K250" s="136">
        <f t="shared" si="38"/>
        <v>822.17291697521307</v>
      </c>
      <c r="L250" s="137">
        <f t="shared" si="38"/>
        <v>880.65661997228085</v>
      </c>
      <c r="M250" s="137">
        <f t="shared" si="38"/>
        <v>945.48184914641388</v>
      </c>
      <c r="N250" s="137">
        <f t="shared" si="38"/>
        <v>1017.4206854945105</v>
      </c>
      <c r="O250" s="137">
        <f t="shared" si="38"/>
        <v>1097.3529542585429</v>
      </c>
    </row>
    <row r="251" spans="1:15" ht="12.95" hidden="1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8"/>
        <v>335.75359868662508</v>
      </c>
      <c r="I251" s="140">
        <f t="shared" si="38"/>
        <v>355.64473080341099</v>
      </c>
      <c r="J251" s="140">
        <f t="shared" si="38"/>
        <v>378.47171053595611</v>
      </c>
      <c r="K251" s="140">
        <f t="shared" si="38"/>
        <v>403.69281714790134</v>
      </c>
      <c r="L251" s="140">
        <f t="shared" si="38"/>
        <v>431.58532910193907</v>
      </c>
      <c r="M251" s="140">
        <f t="shared" si="38"/>
        <v>462.46394795205021</v>
      </c>
      <c r="N251" s="140">
        <f t="shared" si="38"/>
        <v>496.68628010050196</v>
      </c>
      <c r="O251" s="140">
        <f t="shared" si="38"/>
        <v>534.65919486684481</v>
      </c>
    </row>
    <row r="252" spans="1:15" ht="12.95" customHeight="1" collapsed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9">+H73</f>
        <v>144.38336269074406</v>
      </c>
      <c r="I286" s="135">
        <f t="shared" si="39"/>
        <v>158.09058392211767</v>
      </c>
      <c r="J286" s="229">
        <f t="shared" si="39"/>
        <v>173.73619092811771</v>
      </c>
      <c r="K286" s="179">
        <f t="shared" ca="1" si="39"/>
        <v>191.19683918614641</v>
      </c>
      <c r="L286" s="179">
        <f t="shared" ca="1" si="39"/>
        <v>210.71549964179448</v>
      </c>
      <c r="M286" s="179">
        <f t="shared" ca="1" si="39"/>
        <v>232.56978295217664</v>
      </c>
      <c r="N286" s="179">
        <f t="shared" ca="1" si="39"/>
        <v>257.07880207604501</v>
      </c>
      <c r="O286" s="179">
        <f t="shared" ca="1" si="39"/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>
        <f t="shared" ref="H295:O295" si="40">+H73</f>
        <v>144.38336269074406</v>
      </c>
      <c r="I295" s="17">
        <f t="shared" si="40"/>
        <v>158.09058392211767</v>
      </c>
      <c r="J295" s="213">
        <f t="shared" si="40"/>
        <v>173.73619092811771</v>
      </c>
      <c r="K295" s="17">
        <f t="shared" ca="1" si="40"/>
        <v>191.19683918614641</v>
      </c>
      <c r="L295" s="17">
        <f t="shared" ca="1" si="40"/>
        <v>210.71549964179448</v>
      </c>
      <c r="M295" s="17">
        <f t="shared" ca="1" si="40"/>
        <v>232.56978295217664</v>
      </c>
      <c r="N295" s="17">
        <f t="shared" ca="1" si="40"/>
        <v>257.07880207604501</v>
      </c>
      <c r="O295" s="17">
        <f t="shared" ca="1" si="40"/>
        <v>284.60992644787052</v>
      </c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>
        <f>+H75</f>
        <v>100.91013022450269</v>
      </c>
      <c r="I298" s="135">
        <f>+I75</f>
        <v>101.22532805211092</v>
      </c>
      <c r="J298" s="236">
        <f>+J75</f>
        <v>101.5551580431645</v>
      </c>
      <c r="K298" s="23">
        <f>+K317</f>
        <v>101.89686926219814</v>
      </c>
      <c r="L298" s="23">
        <f>+L317</f>
        <v>102.25037131335471</v>
      </c>
      <c r="M298" s="23">
        <f>+M317</f>
        <v>102.61458004154703</v>
      </c>
      <c r="N298" s="23">
        <f>+N317</f>
        <v>102.9884647971969</v>
      </c>
      <c r="O298" s="23">
        <f>+O317</f>
        <v>103.37104759455143</v>
      </c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>
        <f>+H300-H298</f>
        <v>5</v>
      </c>
      <c r="I299" s="136">
        <f>+I300-I298</f>
        <v>5</v>
      </c>
      <c r="J299" s="237">
        <f>+J300-J298</f>
        <v>5</v>
      </c>
      <c r="K299" s="111">
        <f>+J299</f>
        <v>5</v>
      </c>
      <c r="L299" s="111">
        <f>+K299</f>
        <v>5</v>
      </c>
      <c r="M299" s="111">
        <f>+L299</f>
        <v>5</v>
      </c>
      <c r="N299" s="111">
        <f>+M299</f>
        <v>5</v>
      </c>
      <c r="O299" s="111">
        <f>+N299</f>
        <v>5</v>
      </c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>
        <f>+H78</f>
        <v>105.91013022450269</v>
      </c>
      <c r="I300" s="238">
        <f>+I78</f>
        <v>106.22532805211092</v>
      </c>
      <c r="J300" s="239">
        <f>+J78</f>
        <v>106.5551580431645</v>
      </c>
      <c r="K300" s="187">
        <f>SUM(K298:K299)</f>
        <v>106.89686926219814</v>
      </c>
      <c r="L300" s="187">
        <f>SUM(L298:L299)</f>
        <v>107.25037131335471</v>
      </c>
      <c r="M300" s="187">
        <f>SUM(M298:M299)</f>
        <v>107.61458004154703</v>
      </c>
      <c r="N300" s="187">
        <f>SUM(N298:N299)</f>
        <v>107.9884647971969</v>
      </c>
      <c r="O300" s="187">
        <f>SUM(O298:O299)</f>
        <v>108.37104759455143</v>
      </c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>
        <f>+K269+K268</f>
        <v>11.111880686976447</v>
      </c>
      <c r="L302" s="111">
        <f>+L269+L268</f>
        <v>11.945271738499681</v>
      </c>
      <c r="M302" s="111">
        <f>+M269+M268</f>
        <v>12.871030298233407</v>
      </c>
      <c r="N302" s="111">
        <f>+N269+N268</f>
        <v>13.900712722092081</v>
      </c>
      <c r="O302" s="111">
        <f>+O269+O268</f>
        <v>15.047521521664677</v>
      </c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>
        <f>+K278</f>
        <v>-5</v>
      </c>
      <c r="L303" s="111">
        <f>+L278</f>
        <v>-5</v>
      </c>
      <c r="M303" s="111">
        <f>+M278</f>
        <v>-5</v>
      </c>
      <c r="N303" s="111">
        <f>+N278</f>
        <v>-5</v>
      </c>
      <c r="O303" s="111">
        <f>+O278</f>
        <v>-5</v>
      </c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>
        <f>SUM(K302:K303)</f>
        <v>6.1118806869764466</v>
      </c>
      <c r="L304" s="184">
        <f>SUM(L302:L303)</f>
        <v>6.9452717384996809</v>
      </c>
      <c r="M304" s="184">
        <f>SUM(M302:M303)</f>
        <v>7.8710302982334071</v>
      </c>
      <c r="N304" s="184">
        <f>SUM(N302:N303)</f>
        <v>8.9007127220920808</v>
      </c>
      <c r="O304" s="184">
        <f>SUM(O302:O303)</f>
        <v>10.047521521664677</v>
      </c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11">
        <f t="shared" ref="K306:O307" si="41">+K302/K$312</f>
        <v>0.62125792203275587</v>
      </c>
      <c r="L306" s="111">
        <f t="shared" si="41"/>
        <v>0.60799321036996257</v>
      </c>
      <c r="M306" s="111">
        <f t="shared" si="41"/>
        <v>0.59556899132970686</v>
      </c>
      <c r="N306" s="111">
        <f t="shared" si="41"/>
        <v>0.58391555167920139</v>
      </c>
      <c r="O306" s="111">
        <f t="shared" si="41"/>
        <v>0.57296944968943608</v>
      </c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11">
        <f t="shared" si="41"/>
        <v>-0.27954670299911255</v>
      </c>
      <c r="L307" s="111">
        <f t="shared" si="41"/>
        <v>-0.25449115921339688</v>
      </c>
      <c r="M307" s="111">
        <f t="shared" si="41"/>
        <v>-0.23136026313738486</v>
      </c>
      <c r="N307" s="111">
        <f t="shared" si="41"/>
        <v>-0.210030796029328</v>
      </c>
      <c r="O307" s="111">
        <f t="shared" si="41"/>
        <v>-0.19038665233490545</v>
      </c>
      <c r="Q307"/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187">
        <f>SUM(K306:K307)</f>
        <v>0.34171121903364332</v>
      </c>
      <c r="L308" s="187">
        <f>SUM(L306:L307)</f>
        <v>0.35350205115656569</v>
      </c>
      <c r="M308" s="187">
        <f>SUM(M306:M307)</f>
        <v>0.36420872819232197</v>
      </c>
      <c r="N308" s="187">
        <f>SUM(N306:N307)</f>
        <v>0.37388475564987339</v>
      </c>
      <c r="O308" s="187">
        <f>SUM(O306:O307)</f>
        <v>0.3825827973545306</v>
      </c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1.7886098982236514</v>
      </c>
      <c r="L310" s="252">
        <v>1.9647047918892071</v>
      </c>
      <c r="M310" s="252">
        <v>2.1611317052448769</v>
      </c>
      <c r="N310" s="252">
        <v>2.3806032708183502</v>
      </c>
      <c r="O310" s="252">
        <v>2.6262345278305528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185">
        <f>+K311</f>
        <v>10</v>
      </c>
      <c r="M311" s="185">
        <f>+L311</f>
        <v>10</v>
      </c>
      <c r="N311" s="185">
        <f>+M311</f>
        <v>10</v>
      </c>
      <c r="O311" s="185">
        <f>+N311</f>
        <v>10</v>
      </c>
      <c r="Q311"/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186">
        <f>+K310*K311</f>
        <v>17.886098982236515</v>
      </c>
      <c r="L312" s="186">
        <f>+L310*L311</f>
        <v>19.647047918892071</v>
      </c>
      <c r="M312" s="186">
        <f>+M310*M311</f>
        <v>21.611317052448769</v>
      </c>
      <c r="N312" s="186">
        <f>+N310*N311</f>
        <v>23.806032708183501</v>
      </c>
      <c r="O312" s="186">
        <f>+O310*O311</f>
        <v>26.262345278305528</v>
      </c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>
        <f>+J298</f>
        <v>101.5551580431645</v>
      </c>
      <c r="L315" s="111">
        <f>+K317</f>
        <v>101.89686926219814</v>
      </c>
      <c r="M315" s="111">
        <f>+L317</f>
        <v>102.25037131335471</v>
      </c>
      <c r="N315" s="111">
        <f>+M317</f>
        <v>102.61458004154703</v>
      </c>
      <c r="O315" s="111">
        <f>+N317</f>
        <v>102.9884647971969</v>
      </c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>
        <f>+K308</f>
        <v>0.34171121903364332</v>
      </c>
      <c r="L316" s="77">
        <f>+L308</f>
        <v>0.35350205115656569</v>
      </c>
      <c r="M316" s="77">
        <f>+M308</f>
        <v>0.36420872819232197</v>
      </c>
      <c r="N316" s="77">
        <f>+N308</f>
        <v>0.37388475564987339</v>
      </c>
      <c r="O316" s="77">
        <f>+O308</f>
        <v>0.3825827973545306</v>
      </c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>
        <f>SUM(K315:K316)</f>
        <v>101.89686926219814</v>
      </c>
      <c r="L317" s="189">
        <f>SUM(L315:L316)</f>
        <v>102.25037131335471</v>
      </c>
      <c r="M317" s="189">
        <f>SUM(M315:M316)</f>
        <v>102.61458004154703</v>
      </c>
      <c r="N317" s="189">
        <f>SUM(N315:N316)</f>
        <v>102.9884647971969</v>
      </c>
      <c r="O317" s="189">
        <f>SUM(O315:O316)</f>
        <v>103.37104759455143</v>
      </c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H319" s="251"/>
      <c r="I319" s="251"/>
      <c r="J319" s="251"/>
      <c r="Q319"/>
      <c r="R319"/>
      <c r="S319"/>
      <c r="T319"/>
    </row>
    <row r="320" spans="2:23" ht="12.95" customHeight="1" x14ac:dyDescent="0.2">
      <c r="H320" s="23"/>
      <c r="I320" s="23"/>
      <c r="J320" s="23"/>
    </row>
  </sheetData>
  <conditionalFormatting sqref="A247:A262 A264:A272 A309:A318 A328:A1048576 A274:A290 A1:A245 A292:A305">
    <cfRule type="expression" dxfId="63" priority="8">
      <formula>$D$18&gt;0</formula>
    </cfRule>
  </conditionalFormatting>
  <conditionalFormatting sqref="A246">
    <cfRule type="expression" dxfId="62" priority="7">
      <formula>$D$18&gt;0</formula>
    </cfRule>
  </conditionalFormatting>
  <conditionalFormatting sqref="A263">
    <cfRule type="expression" dxfId="61" priority="6">
      <formula>$D$18&gt;0</formula>
    </cfRule>
  </conditionalFormatting>
  <conditionalFormatting sqref="A273">
    <cfRule type="expression" dxfId="60" priority="5">
      <formula>$D$18&gt;0</formula>
    </cfRule>
  </conditionalFormatting>
  <conditionalFormatting sqref="A281">
    <cfRule type="expression" dxfId="59" priority="4">
      <formula>$D$18&gt;0</formula>
    </cfRule>
  </conditionalFormatting>
  <conditionalFormatting sqref="A291">
    <cfRule type="expression" dxfId="58" priority="3">
      <formula>$D$18&gt;0</formula>
    </cfRule>
  </conditionalFormatting>
  <conditionalFormatting sqref="A306:A308">
    <cfRule type="expression" dxfId="57" priority="2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  <ignoredErrors>
    <ignoredError sqref="H26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6B392-016B-440D-B400-1579749391FF}">
  <dimension ref="A2:X337"/>
  <sheetViews>
    <sheetView showGridLines="0" zoomScaleNormal="100" zoomScaleSheetLayoutView="85" workbookViewId="0"/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82"/>
      <c r="Q10" s="81" t="s">
        <v>341</v>
      </c>
    </row>
    <row r="11" spans="1:17" ht="12.95" customHeight="1" x14ac:dyDescent="0.2">
      <c r="B11" s="83" t="s">
        <v>332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333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+IF(SUM(H130:O130)=0,0,1)</f>
        <v>0</v>
      </c>
    </row>
    <row r="17" spans="1:15" ht="12.95" customHeight="1" x14ac:dyDescent="0.2">
      <c r="B17" s="1" t="s">
        <v>8</v>
      </c>
      <c r="D17" s="259">
        <f ca="1">+IF(SUM(K225:O225)=0,0,1)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si="0"/>
        <v>1478.7282679410305</v>
      </c>
      <c r="L27" s="147">
        <f t="shared" si="0"/>
        <v>1589.6328880366079</v>
      </c>
      <c r="M27" s="147">
        <f t="shared" si="0"/>
        <v>1712.8294368594452</v>
      </c>
      <c r="N27" s="147">
        <f t="shared" si="0"/>
        <v>1849.8557918082008</v>
      </c>
      <c r="O27" s="147">
        <f t="shared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si="1"/>
        <v>7.2500000000000009E-2</v>
      </c>
      <c r="L28" s="218">
        <f t="shared" si="1"/>
        <v>7.5000000000000178E-2</v>
      </c>
      <c r="M28" s="218">
        <f t="shared" si="1"/>
        <v>7.7500000000000124E-2</v>
      </c>
      <c r="N28" s="218">
        <f t="shared" si="1"/>
        <v>8.0000000000000071E-2</v>
      </c>
      <c r="O28" s="218">
        <f t="shared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si="2"/>
        <v>272.82536543511998</v>
      </c>
      <c r="L29" s="147">
        <f t="shared" si="2"/>
        <v>299.64579939490051</v>
      </c>
      <c r="M29" s="147">
        <f t="shared" si="2"/>
        <v>329.71966659544307</v>
      </c>
      <c r="N29" s="147">
        <f t="shared" si="2"/>
        <v>363.49666309031136</v>
      </c>
      <c r="O29" s="147">
        <f t="shared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si="3"/>
        <v>0.18449999999999991</v>
      </c>
      <c r="L30" s="218">
        <f t="shared" si="3"/>
        <v>0.18849999999999995</v>
      </c>
      <c r="M30" s="218">
        <f t="shared" si="3"/>
        <v>0.19249999999999992</v>
      </c>
      <c r="N30" s="218">
        <f t="shared" si="3"/>
        <v>0.19649999999999995</v>
      </c>
      <c r="O30" s="218">
        <f t="shared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>-K173</f>
        <v>21.441559885144944</v>
      </c>
      <c r="L33" s="160">
        <f>-L173</f>
        <v>23.84449332054912</v>
      </c>
      <c r="M33" s="160">
        <f>-M173</f>
        <v>26.548856271321402</v>
      </c>
      <c r="N33" s="160">
        <f>-N173</f>
        <v>29.597692668931213</v>
      </c>
      <c r="O33" s="160">
        <f>-O173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>+K33/K27</f>
        <v>1.4500000000000001E-2</v>
      </c>
      <c r="L34" s="218">
        <f>+L33/L27</f>
        <v>1.5000000000000001E-2</v>
      </c>
      <c r="M34" s="218">
        <f>+M33/M27</f>
        <v>1.55E-2</v>
      </c>
      <c r="N34" s="218">
        <f>+N33/N27</f>
        <v>1.6E-2</v>
      </c>
      <c r="O34" s="218">
        <f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328</v>
      </c>
      <c r="H38" s="143"/>
      <c r="I38" s="143"/>
      <c r="J38" s="120"/>
      <c r="K38" s="118">
        <f>+K84+K157</f>
        <v>283.93724612209644</v>
      </c>
      <c r="L38" s="118">
        <f t="shared" ref="L38:O38" si="4">+L84+L157</f>
        <v>311.59107113340019</v>
      </c>
      <c r="M38" s="118">
        <f t="shared" si="4"/>
        <v>342.59069689367647</v>
      </c>
      <c r="N38" s="118">
        <f t="shared" si="4"/>
        <v>377.39737581240342</v>
      </c>
      <c r="O38" s="118">
        <f t="shared" si="4"/>
        <v>416.54253489545624</v>
      </c>
    </row>
    <row r="39" spans="2:15" ht="12.95" customHeight="1" x14ac:dyDescent="0.2">
      <c r="B39" s="1" t="s">
        <v>330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>+K168</f>
        <v>-10.511989007322436</v>
      </c>
      <c r="L41" s="137">
        <f>+L168</f>
        <v>-11.660916381467509</v>
      </c>
      <c r="M41" s="137">
        <f>+M168</f>
        <v>-12.951044653209886</v>
      </c>
      <c r="N41" s="137">
        <f>+N168</f>
        <v>-14.402236689579912</v>
      </c>
      <c r="O41" s="137">
        <f>+O168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>-K33</f>
        <v>-21.441559885144944</v>
      </c>
      <c r="L42" s="137">
        <f>-L33</f>
        <v>-23.84449332054912</v>
      </c>
      <c r="M42" s="137">
        <f>-M33</f>
        <v>-26.548856271321402</v>
      </c>
      <c r="N42" s="137">
        <f>-N33</f>
        <v>-29.597692668931213</v>
      </c>
      <c r="O42" s="137">
        <f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5">+K121</f>
        <v>0</v>
      </c>
      <c r="L49" s="137">
        <f t="shared" ca="1" si="5"/>
        <v>0</v>
      </c>
      <c r="M49" s="137">
        <f t="shared" ca="1" si="5"/>
        <v>0</v>
      </c>
      <c r="N49" s="137">
        <f t="shared" ca="1" si="5"/>
        <v>0</v>
      </c>
      <c r="O49" s="137">
        <f t="shared" ca="1" si="5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5"/>
        <v>50</v>
      </c>
      <c r="L50" s="140">
        <f t="shared" si="5"/>
        <v>50</v>
      </c>
      <c r="M50" s="140">
        <f t="shared" si="5"/>
        <v>50</v>
      </c>
      <c r="N50" s="140">
        <f t="shared" si="5"/>
        <v>50</v>
      </c>
      <c r="O50" s="140">
        <f t="shared" si="5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1012.785947090466</v>
      </c>
      <c r="L52" s="140">
        <f t="shared" ref="L52:O52" ca="1" si="6">+SUM(L125:L127)</f>
        <v>1219.9109434886702</v>
      </c>
      <c r="M52" s="140">
        <f t="shared" ca="1" si="6"/>
        <v>1448.7232675914715</v>
      </c>
      <c r="N52" s="140">
        <f t="shared" ca="1" si="6"/>
        <v>1701.8488422858063</v>
      </c>
      <c r="O52" s="140">
        <f t="shared" ca="1" si="6"/>
        <v>1982.2757939329481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1062.7859470904659</v>
      </c>
      <c r="L53" s="147">
        <f ca="1">SUM(L51:L52)</f>
        <v>1269.9109434886702</v>
      </c>
      <c r="M53" s="147">
        <f ca="1">SUM(M51:M52)</f>
        <v>1498.7232675914715</v>
      </c>
      <c r="N53" s="147">
        <f ca="1">SUM(N51:N52)</f>
        <v>1751.8488422858063</v>
      </c>
      <c r="O53" s="147">
        <f ca="1">SUM(O51:O52)</f>
        <v>2032.2757939329481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285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7">SUM(H64:H65)</f>
        <v>529.94622062969995</v>
      </c>
      <c r="I66" s="53">
        <f t="shared" si="7"/>
        <v>566.96986070108994</v>
      </c>
      <c r="J66" s="54">
        <f t="shared" si="7"/>
        <v>609.41528618175801</v>
      </c>
      <c r="K66" s="134">
        <f t="shared" si="7"/>
        <v>656.55535096581741</v>
      </c>
      <c r="L66" s="135">
        <f t="shared" si="7"/>
        <v>708.97626806432709</v>
      </c>
      <c r="M66" s="135">
        <f t="shared" si="7"/>
        <v>767.34758771303132</v>
      </c>
      <c r="N66" s="135">
        <f t="shared" si="7"/>
        <v>832.43510631369031</v>
      </c>
      <c r="O66" s="135">
        <f t="shared" si="7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8">+SUM(H66:H67)</f>
        <v>194.19262194307487</v>
      </c>
      <c r="I68" s="55">
        <f t="shared" si="8"/>
        <v>211.32512989767895</v>
      </c>
      <c r="J68" s="56">
        <f t="shared" si="8"/>
        <v>230.9435756458019</v>
      </c>
      <c r="K68" s="196">
        <f t="shared" si="8"/>
        <v>252.86253381791607</v>
      </c>
      <c r="L68" s="196">
        <f t="shared" si="8"/>
        <v>277.39093896238802</v>
      </c>
      <c r="M68" s="196">
        <f t="shared" si="8"/>
        <v>304.88363976098111</v>
      </c>
      <c r="N68" s="196">
        <f t="shared" si="8"/>
        <v>335.74882621318835</v>
      </c>
      <c r="O68" s="196">
        <f t="shared" si="8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5" ht="12.95" customHeight="1" x14ac:dyDescent="0.2">
      <c r="B71" s="1" t="s">
        <v>37</v>
      </c>
      <c r="H71" s="53">
        <f t="shared" ref="H71:O71" si="9">+SUM(H68:H70)</f>
        <v>195.11265228478928</v>
      </c>
      <c r="I71" s="53">
        <f t="shared" si="9"/>
        <v>213.63592421907794</v>
      </c>
      <c r="J71" s="54">
        <f t="shared" si="9"/>
        <v>234.77863638934826</v>
      </c>
      <c r="K71" s="134">
        <f t="shared" ca="1" si="9"/>
        <v>258.37410700830594</v>
      </c>
      <c r="L71" s="134">
        <f t="shared" ca="1" si="9"/>
        <v>284.75067519161416</v>
      </c>
      <c r="M71" s="134">
        <f t="shared" ca="1" si="9"/>
        <v>314.28349047591439</v>
      </c>
      <c r="N71" s="134">
        <f t="shared" ca="1" si="9"/>
        <v>347.40378658925005</v>
      </c>
      <c r="O71" s="134">
        <f t="shared" ca="1" si="9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10">+SUM(H71:H72)</f>
        <v>144.38336269074406</v>
      </c>
      <c r="I73" s="55">
        <f t="shared" si="10"/>
        <v>158.09058392211767</v>
      </c>
      <c r="J73" s="56">
        <f t="shared" si="10"/>
        <v>173.73619092811771</v>
      </c>
      <c r="K73" s="145">
        <f t="shared" ca="1" si="10"/>
        <v>191.19683918614641</v>
      </c>
      <c r="L73" s="145">
        <f t="shared" ca="1" si="10"/>
        <v>210.71549964179448</v>
      </c>
      <c r="M73" s="145">
        <f t="shared" ca="1" si="10"/>
        <v>232.56978295217664</v>
      </c>
      <c r="N73" s="145">
        <f t="shared" ca="1" si="10"/>
        <v>257.07880207604501</v>
      </c>
      <c r="O73" s="145">
        <f t="shared" ca="1" si="10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>+K298</f>
        <v>101.89686926219814</v>
      </c>
      <c r="L75" s="193">
        <f>+L298</f>
        <v>102.25037131335471</v>
      </c>
      <c r="M75" s="193">
        <f>+M298</f>
        <v>102.61458004154703</v>
      </c>
      <c r="N75" s="193">
        <f>+N298</f>
        <v>102.9884647971969</v>
      </c>
      <c r="O75" s="193">
        <f>+O298</f>
        <v>103.37104759455143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1">+H73/H75</f>
        <v>1.4308113800816931</v>
      </c>
      <c r="I76" s="126">
        <f t="shared" si="11"/>
        <v>1.5617690450035633</v>
      </c>
      <c r="J76" s="127">
        <f t="shared" si="11"/>
        <v>1.7107569352043521</v>
      </c>
      <c r="K76" s="200">
        <f t="shared" ca="1" si="11"/>
        <v>1.8763759924180214</v>
      </c>
      <c r="L76" s="200">
        <f t="shared" ca="1" si="11"/>
        <v>2.0607797989900636</v>
      </c>
      <c r="M76" s="200">
        <f t="shared" ca="1" si="11"/>
        <v>2.266439943115421</v>
      </c>
      <c r="N76" s="200">
        <f t="shared" ca="1" si="11"/>
        <v>2.4961902537558953</v>
      </c>
      <c r="O76" s="200">
        <f t="shared" ca="1" si="11"/>
        <v>2.7532847259533044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>+K300</f>
        <v>106.89686926219814</v>
      </c>
      <c r="L78" s="193">
        <f>+L300</f>
        <v>107.25037131335471</v>
      </c>
      <c r="M78" s="193">
        <f>+M300</f>
        <v>107.61458004154703</v>
      </c>
      <c r="N78" s="193">
        <f>+N300</f>
        <v>107.9884647971969</v>
      </c>
      <c r="O78" s="193">
        <f>+O300</f>
        <v>108.37104759455143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2">+H73/H78</f>
        <v>1.3632630078415335</v>
      </c>
      <c r="I79" s="126">
        <f t="shared" si="12"/>
        <v>1.4882569611323133</v>
      </c>
      <c r="J79" s="127">
        <f t="shared" si="12"/>
        <v>1.6304812842353329</v>
      </c>
      <c r="K79" s="200">
        <f t="shared" ca="1" si="12"/>
        <v>1.7886102792886864</v>
      </c>
      <c r="L79" s="200">
        <f t="shared" ca="1" si="12"/>
        <v>1.9647064813057333</v>
      </c>
      <c r="M79" s="200">
        <f t="shared" ca="1" si="12"/>
        <v>2.1611363707630309</v>
      </c>
      <c r="N79" s="200">
        <f t="shared" ca="1" si="12"/>
        <v>2.3806135457045419</v>
      </c>
      <c r="O79" s="200">
        <f t="shared" ca="1" si="12"/>
        <v>2.6262542696152718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13">+H68</f>
        <v>194.19262194307487</v>
      </c>
      <c r="I82" s="53">
        <f t="shared" si="13"/>
        <v>211.32512989767895</v>
      </c>
      <c r="J82" s="54">
        <f t="shared" si="13"/>
        <v>230.9435756458019</v>
      </c>
      <c r="K82" s="197">
        <f t="shared" si="13"/>
        <v>252.86253381791607</v>
      </c>
      <c r="L82" s="197">
        <f t="shared" si="13"/>
        <v>277.39093896238802</v>
      </c>
      <c r="M82" s="197">
        <f t="shared" si="13"/>
        <v>304.88363976098111</v>
      </c>
      <c r="N82" s="197">
        <f t="shared" si="13"/>
        <v>335.74882621318835</v>
      </c>
      <c r="O82" s="197">
        <f t="shared" si="13"/>
        <v>370.45674550698971</v>
      </c>
    </row>
    <row r="83" spans="2:17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7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si="14"/>
        <v>272.82536543511998</v>
      </c>
      <c r="L84" s="197">
        <f t="shared" si="14"/>
        <v>299.64579939490051</v>
      </c>
      <c r="M84" s="197">
        <f t="shared" si="14"/>
        <v>329.71966659544307</v>
      </c>
      <c r="N84" s="197">
        <f t="shared" si="14"/>
        <v>363.49666309031136</v>
      </c>
      <c r="O84" s="197">
        <f t="shared" si="14"/>
        <v>401.49501337379155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si="15"/>
        <v>272.82536543511998</v>
      </c>
      <c r="L86" s="145">
        <f t="shared" si="15"/>
        <v>299.64579939490051</v>
      </c>
      <c r="M86" s="145">
        <f t="shared" si="15"/>
        <v>329.71966659544307</v>
      </c>
      <c r="N86" s="145">
        <f t="shared" si="15"/>
        <v>363.49666309031136</v>
      </c>
      <c r="O86" s="145">
        <f t="shared" si="15"/>
        <v>401.49501337379155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69">
        <v>7.2500000000000064E-2</v>
      </c>
      <c r="L89" s="370">
        <v>7.5000000000000067E-2</v>
      </c>
      <c r="M89" s="370">
        <v>7.7500000000000069E-2</v>
      </c>
      <c r="N89" s="370">
        <v>8.0000000000000071E-2</v>
      </c>
      <c r="O89" s="370">
        <v>8.2500000000000073E-2</v>
      </c>
      <c r="Q89" s="1" t="s">
        <v>312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69">
        <f>+J90+0.002</f>
        <v>0.44400000000000001</v>
      </c>
      <c r="L90" s="370">
        <f>+K90+0.002</f>
        <v>0.44600000000000001</v>
      </c>
      <c r="M90" s="370">
        <f>+L90+0.002</f>
        <v>0.44800000000000001</v>
      </c>
      <c r="N90" s="370">
        <f>+M90+0.002</f>
        <v>0.45</v>
      </c>
      <c r="O90" s="370">
        <f>+N90+0.002</f>
        <v>0.45200000000000001</v>
      </c>
      <c r="Q90" s="1" t="s">
        <v>313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69">
        <f>+J91-0.0015</f>
        <v>0.27300000000000002</v>
      </c>
      <c r="L91" s="370">
        <f>+K91-0.0015</f>
        <v>0.27150000000000002</v>
      </c>
      <c r="M91" s="370">
        <f>+L91-0.0015</f>
        <v>0.27</v>
      </c>
      <c r="N91" s="370">
        <f>+M91-0.0015</f>
        <v>0.26850000000000002</v>
      </c>
      <c r="O91" s="370">
        <f>+N91-0.0015</f>
        <v>0.26700000000000002</v>
      </c>
      <c r="Q91" s="1" t="s">
        <v>314</v>
      </c>
    </row>
    <row r="92" spans="2:17" ht="12.95" customHeight="1" x14ac:dyDescent="0.2">
      <c r="B92" s="1" t="s">
        <v>47</v>
      </c>
      <c r="H92" s="63">
        <f t="shared" ref="H92:O92" si="16">+H86/H64</f>
        <v>0.17422744656671477</v>
      </c>
      <c r="I92" s="63">
        <f t="shared" si="16"/>
        <v>0.17956985466122871</v>
      </c>
      <c r="J92" s="64">
        <f t="shared" si="16"/>
        <v>0.18231321346059967</v>
      </c>
      <c r="K92" s="190">
        <f t="shared" si="16"/>
        <v>0.18449999999999991</v>
      </c>
      <c r="L92" s="63">
        <f t="shared" si="16"/>
        <v>0.18849999999999995</v>
      </c>
      <c r="M92" s="63">
        <f t="shared" si="16"/>
        <v>0.19249999999999992</v>
      </c>
      <c r="N92" s="63">
        <f t="shared" si="16"/>
        <v>0.19649999999999995</v>
      </c>
      <c r="O92" s="63">
        <f t="shared" si="16"/>
        <v>0.20049999999999993</v>
      </c>
    </row>
    <row r="93" spans="2:17" ht="12.95" customHeight="1" x14ac:dyDescent="0.2">
      <c r="B93" s="1" t="s">
        <v>152</v>
      </c>
      <c r="I93" s="63">
        <f t="shared" ref="I93:O93" si="17">+I86/H86-1</f>
        <v>9.7656534505765391E-2</v>
      </c>
      <c r="J93" s="64">
        <f t="shared" si="17"/>
        <v>8.6346807880781418E-2</v>
      </c>
      <c r="K93" s="190">
        <f t="shared" si="17"/>
        <v>8.536428185312861E-2</v>
      </c>
      <c r="L93" s="63">
        <f t="shared" si="17"/>
        <v>9.8306233062330994E-2</v>
      </c>
      <c r="M93" s="63">
        <f t="shared" si="17"/>
        <v>0.10036472148541109</v>
      </c>
      <c r="N93" s="63">
        <f t="shared" si="17"/>
        <v>0.10244155844155856</v>
      </c>
      <c r="O93" s="63">
        <f t="shared" si="17"/>
        <v>0.10453562340966926</v>
      </c>
    </row>
    <row r="94" spans="2:17" ht="12.95" customHeight="1" x14ac:dyDescent="0.2">
      <c r="B94" s="1" t="s">
        <v>136</v>
      </c>
      <c r="I94" s="63">
        <f t="shared" ref="I94:O94" si="18">+I73/H73-1</f>
        <v>9.493629304598783E-2</v>
      </c>
      <c r="J94" s="64">
        <f t="shared" si="18"/>
        <v>9.896609031254977E-2</v>
      </c>
      <c r="K94" s="190">
        <f t="shared" ca="1" si="18"/>
        <v>0.10050092709384262</v>
      </c>
      <c r="L94" s="63">
        <f t="shared" ca="1" si="18"/>
        <v>0.10208673186613204</v>
      </c>
      <c r="M94" s="63">
        <f t="shared" ca="1" si="18"/>
        <v>0.10371464532762564</v>
      </c>
      <c r="N94" s="63">
        <f t="shared" ca="1" si="18"/>
        <v>0.10538350602884705</v>
      </c>
      <c r="O94" s="63">
        <f t="shared" ca="1" si="18"/>
        <v>0.10709216065073179</v>
      </c>
    </row>
    <row r="95" spans="2:17" ht="12.95" customHeight="1" x14ac:dyDescent="0.2">
      <c r="B95" s="1" t="s">
        <v>137</v>
      </c>
      <c r="I95" s="63">
        <f t="shared" ref="I95:O95" si="19">+I79/H79-1</f>
        <v>9.168733587855793E-2</v>
      </c>
      <c r="J95" s="64">
        <f t="shared" si="19"/>
        <v>9.5564359393159437E-2</v>
      </c>
      <c r="K95" s="190">
        <f t="shared" ca="1" si="19"/>
        <v>9.6983017580305031E-2</v>
      </c>
      <c r="L95" s="63">
        <f t="shared" ca="1" si="19"/>
        <v>9.8454204393300548E-2</v>
      </c>
      <c r="M95" s="63">
        <f t="shared" ca="1" si="19"/>
        <v>9.9979254573818732E-2</v>
      </c>
      <c r="N95" s="63">
        <f t="shared" ca="1" si="19"/>
        <v>0.10155637465118428</v>
      </c>
      <c r="O95" s="63">
        <f t="shared" ca="1" si="19"/>
        <v>0.1031837882103761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0">+H83/H64</f>
        <v>1.0999999999999999E-2</v>
      </c>
      <c r="I97" s="65">
        <f t="shared" si="20"/>
        <v>1.2E-2</v>
      </c>
      <c r="J97" s="167">
        <f t="shared" si="20"/>
        <v>1.2999999999999999E-2</v>
      </c>
      <c r="K97" s="76">
        <f t="shared" si="20"/>
        <v>1.35E-2</v>
      </c>
      <c r="L97" s="76">
        <f t="shared" si="20"/>
        <v>1.4E-2</v>
      </c>
      <c r="M97" s="76">
        <f t="shared" si="20"/>
        <v>1.4500000000000001E-2</v>
      </c>
      <c r="N97" s="76">
        <f t="shared" si="20"/>
        <v>1.5000000000000001E-2</v>
      </c>
      <c r="O97" s="76">
        <f t="shared" si="20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1">+SUM(H103:H106)</f>
        <v>675.32399663851754</v>
      </c>
      <c r="I107" s="147">
        <f t="shared" si="21"/>
        <v>837.46596294440201</v>
      </c>
      <c r="J107" s="123">
        <f t="shared" si="21"/>
        <v>1016.3200283350651</v>
      </c>
      <c r="K107" s="154">
        <f t="shared" ca="1" si="21"/>
        <v>1213.4572274135542</v>
      </c>
      <c r="L107" s="147">
        <f t="shared" ca="1" si="21"/>
        <v>1431.0273834911868</v>
      </c>
      <c r="M107" s="147">
        <f t="shared" ca="1" si="21"/>
        <v>1671.4697333470026</v>
      </c>
      <c r="N107" s="147">
        <f t="shared" ca="1" si="21"/>
        <v>1937.5561081910107</v>
      </c>
      <c r="O107" s="147">
        <f t="shared" ca="1" si="21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2">+SUM(H107:H111)</f>
        <v>737.15420182016749</v>
      </c>
      <c r="I112" s="145">
        <f t="shared" si="22"/>
        <v>903.73053547447171</v>
      </c>
      <c r="J112" s="146">
        <f t="shared" si="22"/>
        <v>1087.5713585035742</v>
      </c>
      <c r="K112" s="145">
        <f t="shared" ca="1" si="22"/>
        <v>1290.1857119358119</v>
      </c>
      <c r="L112" s="145">
        <f t="shared" ca="1" si="22"/>
        <v>1513.7816857053044</v>
      </c>
      <c r="M112" s="145">
        <f t="shared" ca="1" si="22"/>
        <v>1760.8647269508929</v>
      </c>
      <c r="N112" s="145">
        <f t="shared" ca="1" si="22"/>
        <v>2034.2820117846595</v>
      </c>
      <c r="O112" s="145">
        <f t="shared" ca="1" si="22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3">SUM(H114:H116)</f>
        <v>175.29699116643044</v>
      </c>
      <c r="I117" s="147">
        <f t="shared" si="23"/>
        <v>186.21789694050051</v>
      </c>
      <c r="J117" s="148">
        <f t="shared" si="23"/>
        <v>198.7466131689653</v>
      </c>
      <c r="K117" s="149">
        <f t="shared" si="23"/>
        <v>212.61248216593572</v>
      </c>
      <c r="L117" s="147">
        <f t="shared" si="23"/>
        <v>227.97441333626784</v>
      </c>
      <c r="M117" s="147">
        <f t="shared" si="23"/>
        <v>245.01316499082679</v>
      </c>
      <c r="N117" s="147">
        <f t="shared" si="23"/>
        <v>263.93461158077093</v>
      </c>
      <c r="O117" s="147">
        <f t="shared" si="23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4">SUM(H121:H122)</f>
        <v>50</v>
      </c>
      <c r="I123" s="154">
        <f t="shared" si="24"/>
        <v>50</v>
      </c>
      <c r="J123" s="123">
        <f t="shared" si="24"/>
        <v>50</v>
      </c>
      <c r="K123" s="154">
        <f t="shared" ca="1" si="24"/>
        <v>50</v>
      </c>
      <c r="L123" s="154">
        <f t="shared" ca="1" si="24"/>
        <v>50</v>
      </c>
      <c r="M123" s="154">
        <f t="shared" ca="1" si="24"/>
        <v>50</v>
      </c>
      <c r="N123" s="154">
        <f t="shared" ca="1" si="24"/>
        <v>50</v>
      </c>
      <c r="O123" s="154">
        <f t="shared" ca="1" si="24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25">+L288</f>
        <v>1076.0107348715044</v>
      </c>
      <c r="M127" s="136">
        <f t="shared" ca="1" si="25"/>
        <v>1296.9520286760721</v>
      </c>
      <c r="N127" s="136">
        <f t="shared" ca="1" si="25"/>
        <v>1541.1768906483151</v>
      </c>
      <c r="O127" s="136">
        <f t="shared" ca="1" si="25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6">+SUM(H117,H119,H123,H125:H127)</f>
        <v>737.15420182016749</v>
      </c>
      <c r="I128" s="155">
        <f t="shared" si="26"/>
        <v>903.73053547447182</v>
      </c>
      <c r="J128" s="156">
        <f t="shared" si="26"/>
        <v>1087.5713585035739</v>
      </c>
      <c r="K128" s="155">
        <f t="shared" ca="1" si="26"/>
        <v>1290.1857119358119</v>
      </c>
      <c r="L128" s="155">
        <f t="shared" ca="1" si="26"/>
        <v>1513.7816857053042</v>
      </c>
      <c r="M128" s="155">
        <f t="shared" ca="1" si="26"/>
        <v>1760.8647269508926</v>
      </c>
      <c r="N128" s="155">
        <f t="shared" ca="1" si="26"/>
        <v>2034.2820117846593</v>
      </c>
      <c r="O128" s="155">
        <f t="shared" ca="1" si="26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hidden="1" customHeight="1" outlineLevel="1" x14ac:dyDescent="0.2">
      <c r="B130" s="1" t="s">
        <v>65</v>
      </c>
      <c r="H130" s="137">
        <f t="shared" ref="H130:O130" si="27">+IF(ABS(H112-H128)&gt;0.001,H112-H128,0)</f>
        <v>0</v>
      </c>
      <c r="I130" s="137">
        <f t="shared" si="27"/>
        <v>0</v>
      </c>
      <c r="J130" s="157">
        <f t="shared" si="27"/>
        <v>0</v>
      </c>
      <c r="K130" s="136">
        <f t="shared" ca="1" si="27"/>
        <v>0</v>
      </c>
      <c r="L130" s="137">
        <f t="shared" ca="1" si="27"/>
        <v>0</v>
      </c>
      <c r="M130" s="137">
        <f t="shared" ca="1" si="27"/>
        <v>0</v>
      </c>
      <c r="N130" s="137">
        <f t="shared" ca="1" si="27"/>
        <v>0</v>
      </c>
      <c r="O130" s="137">
        <f t="shared" ca="1" si="27"/>
        <v>0</v>
      </c>
    </row>
    <row r="131" spans="2:15" ht="12.95" hidden="1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hidden="1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hidden="1" customHeight="1" outlineLevel="1" x14ac:dyDescent="0.2">
      <c r="B133" s="1" t="str">
        <f>+B64</f>
        <v>Revenue</v>
      </c>
      <c r="H133" s="137">
        <f t="shared" ref="H133:O133" si="28">+H64</f>
        <v>1209.9228781500001</v>
      </c>
      <c r="I133" s="137">
        <f t="shared" si="28"/>
        <v>1288.5678652297499</v>
      </c>
      <c r="J133" s="157">
        <f t="shared" si="28"/>
        <v>1378.7676157958326</v>
      </c>
      <c r="K133" s="136">
        <f t="shared" si="28"/>
        <v>1478.7282679410305</v>
      </c>
      <c r="L133" s="137">
        <f t="shared" si="28"/>
        <v>1589.6328880366079</v>
      </c>
      <c r="M133" s="137">
        <f t="shared" si="28"/>
        <v>1712.8294368594452</v>
      </c>
      <c r="N133" s="137">
        <f t="shared" si="28"/>
        <v>1849.8557918082008</v>
      </c>
      <c r="O133" s="137">
        <f t="shared" si="28"/>
        <v>2002.4688946323774</v>
      </c>
    </row>
    <row r="134" spans="2:15" ht="12.95" hidden="1" customHeight="1" outlineLevel="1" x14ac:dyDescent="0.2">
      <c r="B134" s="1" t="str">
        <f>+B65</f>
        <v>Cost of Goods Sold (Cost of Sales)</v>
      </c>
      <c r="H134" s="137">
        <f t="shared" ref="H134:O134" si="29">-H65</f>
        <v>679.97665752030014</v>
      </c>
      <c r="I134" s="137">
        <f t="shared" si="29"/>
        <v>721.59800452866</v>
      </c>
      <c r="J134" s="157">
        <f t="shared" si="29"/>
        <v>769.35232961407462</v>
      </c>
      <c r="K134" s="136">
        <f t="shared" si="29"/>
        <v>822.17291697521307</v>
      </c>
      <c r="L134" s="137">
        <f t="shared" si="29"/>
        <v>880.65661997228085</v>
      </c>
      <c r="M134" s="137">
        <f t="shared" si="29"/>
        <v>945.48184914641388</v>
      </c>
      <c r="N134" s="137">
        <f t="shared" si="29"/>
        <v>1017.4206854945105</v>
      </c>
      <c r="O134" s="137">
        <f t="shared" si="29"/>
        <v>1097.3529542585429</v>
      </c>
    </row>
    <row r="135" spans="2:15" ht="12.95" hidden="1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30">-H67</f>
        <v>335.75359868662508</v>
      </c>
      <c r="I135" s="140">
        <f t="shared" si="30"/>
        <v>355.64473080341099</v>
      </c>
      <c r="J135" s="122">
        <f t="shared" si="30"/>
        <v>378.47171053595611</v>
      </c>
      <c r="K135" s="140">
        <f t="shared" si="30"/>
        <v>403.69281714790134</v>
      </c>
      <c r="L135" s="140">
        <f t="shared" si="30"/>
        <v>431.58532910193907</v>
      </c>
      <c r="M135" s="140">
        <f t="shared" si="30"/>
        <v>462.46394795205021</v>
      </c>
      <c r="N135" s="140">
        <f t="shared" si="30"/>
        <v>496.68628010050196</v>
      </c>
      <c r="O135" s="140">
        <f t="shared" si="30"/>
        <v>534.65919486684481</v>
      </c>
    </row>
    <row r="136" spans="2:15" ht="12.95" hidden="1" customHeight="1" outlineLevel="1" x14ac:dyDescent="0.2">
      <c r="J136" s="161"/>
      <c r="K136" s="93"/>
    </row>
    <row r="137" spans="2:15" s="21" customFormat="1" ht="12.95" customHeight="1" collapsed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31">+(H107-H103)-H117</f>
        <v>91.6020511818584</v>
      </c>
      <c r="I148" s="17">
        <f t="shared" si="31"/>
        <v>97.514156014335072</v>
      </c>
      <c r="J148" s="40">
        <f t="shared" si="31"/>
        <v>104.29517644639051</v>
      </c>
      <c r="K148" s="115">
        <f t="shared" ca="1" si="31"/>
        <v>111.80834588935704</v>
      </c>
      <c r="L148" s="17">
        <f t="shared" ca="1" si="31"/>
        <v>120.14212366795709</v>
      </c>
      <c r="M148" s="17">
        <f t="shared" ca="1" si="31"/>
        <v>129.39727185648201</v>
      </c>
      <c r="N148" s="17">
        <f t="shared" ca="1" si="31"/>
        <v>139.68871789759919</v>
      </c>
      <c r="O148" s="17">
        <f t="shared" ca="1" si="31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32">+H148/H133</f>
        <v>7.570900000000004E-2</v>
      </c>
      <c r="I149" s="76">
        <f t="shared" si="32"/>
        <v>7.5676383561643787E-2</v>
      </c>
      <c r="J149" s="167">
        <f t="shared" si="32"/>
        <v>7.5643767123287659E-2</v>
      </c>
      <c r="K149" s="76">
        <f t="shared" ca="1" si="32"/>
        <v>7.5611150684931516E-2</v>
      </c>
      <c r="L149" s="76">
        <f t="shared" ca="1" si="32"/>
        <v>7.5578534246575249E-2</v>
      </c>
      <c r="M149" s="76">
        <f t="shared" ca="1" si="32"/>
        <v>7.554591780821919E-2</v>
      </c>
      <c r="N149" s="76">
        <f t="shared" ca="1" si="32"/>
        <v>7.5513301369862992E-2</v>
      </c>
      <c r="O149" s="76">
        <f t="shared" ca="1" si="32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33">+(J104-K104)</f>
        <v>-8.2159440119340701</v>
      </c>
      <c r="L160" s="137">
        <f t="shared" si="33"/>
        <v>-9.1154482270337525</v>
      </c>
      <c r="M160" s="137">
        <f t="shared" si="33"/>
        <v>-10.125743738863349</v>
      </c>
      <c r="N160" s="137">
        <f t="shared" si="33"/>
        <v>-11.262440132774429</v>
      </c>
      <c r="O160" s="137">
        <f t="shared" si="33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33"/>
        <v>-10.564117472227679</v>
      </c>
      <c r="L161" s="137">
        <f t="shared" si="33"/>
        <v>-11.696740599413573</v>
      </c>
      <c r="M161" s="137">
        <f t="shared" si="33"/>
        <v>-12.965045834826583</v>
      </c>
      <c r="N161" s="137">
        <f t="shared" si="33"/>
        <v>-14.387767269619332</v>
      </c>
      <c r="O161" s="137">
        <f t="shared" si="33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33"/>
        <v>-2.598976955775143</v>
      </c>
      <c r="L162" s="137">
        <f t="shared" si="33"/>
        <v>-2.8835201224850167</v>
      </c>
      <c r="M162" s="137">
        <f t="shared" si="33"/>
        <v>-3.2031102693937683</v>
      </c>
      <c r="N162" s="137">
        <f t="shared" si="33"/>
        <v>-3.5626852286676467</v>
      </c>
      <c r="O162" s="137">
        <f t="shared" si="33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34">+K114-J114</f>
        <v>4.3414181392716529</v>
      </c>
      <c r="L164" s="137">
        <f t="shared" si="34"/>
        <v>4.8068796983891389</v>
      </c>
      <c r="M164" s="137">
        <f t="shared" si="34"/>
        <v>5.3281010280109342</v>
      </c>
      <c r="N164" s="137">
        <f t="shared" si="34"/>
        <v>5.9127810697065684</v>
      </c>
      <c r="O164" s="137">
        <f t="shared" si="34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34"/>
        <v>4.5264182504388515</v>
      </c>
      <c r="L165" s="137">
        <f t="shared" si="34"/>
        <v>5.0098204671641327</v>
      </c>
      <c r="M165" s="137">
        <f t="shared" si="34"/>
        <v>5.5508231854061449</v>
      </c>
      <c r="N165" s="137">
        <f t="shared" si="34"/>
        <v>6.1573477727998238</v>
      </c>
      <c r="O165" s="137">
        <f t="shared" si="34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34"/>
        <v>4.9980326072598871</v>
      </c>
      <c r="L166" s="137">
        <f t="shared" si="34"/>
        <v>5.5452310047788842</v>
      </c>
      <c r="M166" s="137">
        <f t="shared" si="34"/>
        <v>6.1598274411418572</v>
      </c>
      <c r="N166" s="137">
        <f t="shared" si="34"/>
        <v>6.8513177474377756</v>
      </c>
      <c r="O166" s="137">
        <f t="shared" si="34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35">+L192</f>
        <v>0</v>
      </c>
      <c r="M177" s="160">
        <f t="shared" si="35"/>
        <v>0</v>
      </c>
      <c r="N177" s="160">
        <f t="shared" si="35"/>
        <v>0</v>
      </c>
      <c r="O177" s="160">
        <f t="shared" si="35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36">+L210</f>
        <v>0</v>
      </c>
      <c r="M178" s="136">
        <f t="shared" ca="1" si="36"/>
        <v>0</v>
      </c>
      <c r="N178" s="136">
        <f t="shared" ca="1" si="36"/>
        <v>0</v>
      </c>
      <c r="O178" s="136">
        <f t="shared" ca="1" si="36"/>
        <v>0</v>
      </c>
    </row>
    <row r="179" spans="1:20" s="93" customFormat="1" ht="12.95" customHeight="1" x14ac:dyDescent="0.2">
      <c r="B179" s="93" t="s">
        <v>112</v>
      </c>
      <c r="K179" s="136">
        <f t="shared" ref="K179:O181" si="37">+K198</f>
        <v>0</v>
      </c>
      <c r="L179" s="136">
        <f t="shared" si="37"/>
        <v>0</v>
      </c>
      <c r="M179" s="136">
        <f t="shared" si="37"/>
        <v>0</v>
      </c>
      <c r="N179" s="136">
        <f t="shared" si="37"/>
        <v>0</v>
      </c>
      <c r="O179" s="136">
        <f t="shared" si="37"/>
        <v>0</v>
      </c>
    </row>
    <row r="180" spans="1:20" s="93" customFormat="1" ht="12.95" customHeight="1" x14ac:dyDescent="0.2">
      <c r="B180" s="93" t="s">
        <v>113</v>
      </c>
      <c r="K180" s="136">
        <f t="shared" si="37"/>
        <v>-5</v>
      </c>
      <c r="L180" s="136">
        <f t="shared" si="37"/>
        <v>-5</v>
      </c>
      <c r="M180" s="136">
        <f t="shared" si="37"/>
        <v>-5</v>
      </c>
      <c r="N180" s="136">
        <f t="shared" si="37"/>
        <v>-5</v>
      </c>
      <c r="O180" s="136">
        <f t="shared" si="37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37"/>
        <v>-9.5598419593073203</v>
      </c>
      <c r="L181" s="136">
        <f t="shared" ca="1" si="37"/>
        <v>-10.535774982089725</v>
      </c>
      <c r="M181" s="136">
        <f t="shared" ca="1" si="37"/>
        <v>-11.628489147608832</v>
      </c>
      <c r="N181" s="136">
        <f t="shared" ca="1" si="37"/>
        <v>-12.853940103802252</v>
      </c>
      <c r="O181" s="136">
        <f t="shared" ca="1" si="37"/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326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325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hidden="1" customHeight="1" outlineLevel="1" x14ac:dyDescent="0.2"/>
    <row r="225" spans="1:15" ht="12.95" hidden="1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6" spans="1:15" ht="12.95" customHeight="1" collapsed="1" x14ac:dyDescent="0.2"/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hidden="1" customHeight="1" outlineLevel="1" x14ac:dyDescent="0.2"/>
    <row r="248" spans="1:15" ht="12.95" hidden="1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hidden="1" customHeight="1" outlineLevel="1" x14ac:dyDescent="0.2">
      <c r="B249" s="1" t="str">
        <f>+B133</f>
        <v>Revenue</v>
      </c>
      <c r="H249" s="137">
        <f t="shared" ref="H249:O251" si="38">+H133</f>
        <v>1209.9228781500001</v>
      </c>
      <c r="I249" s="137">
        <f t="shared" si="38"/>
        <v>1288.5678652297499</v>
      </c>
      <c r="J249" s="136">
        <f t="shared" si="38"/>
        <v>1378.7676157958326</v>
      </c>
      <c r="K249" s="136">
        <f t="shared" si="38"/>
        <v>1478.7282679410305</v>
      </c>
      <c r="L249" s="137">
        <f t="shared" si="38"/>
        <v>1589.6328880366079</v>
      </c>
      <c r="M249" s="137">
        <f t="shared" si="38"/>
        <v>1712.8294368594452</v>
      </c>
      <c r="N249" s="137">
        <f t="shared" si="38"/>
        <v>1849.8557918082008</v>
      </c>
      <c r="O249" s="137">
        <f t="shared" si="38"/>
        <v>2002.4688946323774</v>
      </c>
    </row>
    <row r="250" spans="1:15" ht="12.95" hidden="1" customHeight="1" outlineLevel="1" x14ac:dyDescent="0.2">
      <c r="B250" s="1" t="str">
        <f>+B134</f>
        <v>Cost of Goods Sold (Cost of Sales)</v>
      </c>
      <c r="H250" s="137">
        <f t="shared" si="38"/>
        <v>679.97665752030014</v>
      </c>
      <c r="I250" s="137">
        <f t="shared" si="38"/>
        <v>721.59800452866</v>
      </c>
      <c r="J250" s="136">
        <f t="shared" si="38"/>
        <v>769.35232961407462</v>
      </c>
      <c r="K250" s="136">
        <f t="shared" si="38"/>
        <v>822.17291697521307</v>
      </c>
      <c r="L250" s="137">
        <f t="shared" si="38"/>
        <v>880.65661997228085</v>
      </c>
      <c r="M250" s="137">
        <f t="shared" si="38"/>
        <v>945.48184914641388</v>
      </c>
      <c r="N250" s="137">
        <f t="shared" si="38"/>
        <v>1017.4206854945105</v>
      </c>
      <c r="O250" s="137">
        <f t="shared" si="38"/>
        <v>1097.3529542585429</v>
      </c>
    </row>
    <row r="251" spans="1:15" ht="12.95" hidden="1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8"/>
        <v>335.75359868662508</v>
      </c>
      <c r="I251" s="140">
        <f t="shared" si="38"/>
        <v>355.64473080341099</v>
      </c>
      <c r="J251" s="140">
        <f t="shared" si="38"/>
        <v>378.47171053595611</v>
      </c>
      <c r="K251" s="140">
        <f t="shared" si="38"/>
        <v>403.69281714790134</v>
      </c>
      <c r="L251" s="140">
        <f t="shared" si="38"/>
        <v>431.58532910193907</v>
      </c>
      <c r="M251" s="140">
        <f t="shared" si="38"/>
        <v>462.46394795205021</v>
      </c>
      <c r="N251" s="140">
        <f t="shared" si="38"/>
        <v>496.68628010050196</v>
      </c>
      <c r="O251" s="140">
        <f t="shared" si="38"/>
        <v>534.65919486684481</v>
      </c>
    </row>
    <row r="252" spans="1:15" ht="12.95" customHeight="1" collapsed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9">+H73</f>
        <v>144.38336269074406</v>
      </c>
      <c r="I286" s="135">
        <f t="shared" si="39"/>
        <v>158.09058392211767</v>
      </c>
      <c r="J286" s="229">
        <f t="shared" si="39"/>
        <v>173.73619092811771</v>
      </c>
      <c r="K286" s="179">
        <f t="shared" ca="1" si="39"/>
        <v>191.19683918614641</v>
      </c>
      <c r="L286" s="179">
        <f t="shared" ca="1" si="39"/>
        <v>210.71549964179448</v>
      </c>
      <c r="M286" s="179">
        <f t="shared" ca="1" si="39"/>
        <v>232.56978295217664</v>
      </c>
      <c r="N286" s="179">
        <f t="shared" ca="1" si="39"/>
        <v>257.07880207604501</v>
      </c>
      <c r="O286" s="179">
        <f t="shared" ca="1" si="39"/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>
        <f t="shared" ref="H295:O295" si="40">+H73</f>
        <v>144.38336269074406</v>
      </c>
      <c r="I295" s="17">
        <f t="shared" si="40"/>
        <v>158.09058392211767</v>
      </c>
      <c r="J295" s="213">
        <f t="shared" si="40"/>
        <v>173.73619092811771</v>
      </c>
      <c r="K295" s="17">
        <f t="shared" ca="1" si="40"/>
        <v>191.19683918614641</v>
      </c>
      <c r="L295" s="17">
        <f t="shared" ca="1" si="40"/>
        <v>210.71549964179448</v>
      </c>
      <c r="M295" s="17">
        <f t="shared" ca="1" si="40"/>
        <v>232.56978295217664</v>
      </c>
      <c r="N295" s="17">
        <f t="shared" ca="1" si="40"/>
        <v>257.07880207604501</v>
      </c>
      <c r="O295" s="17">
        <f t="shared" ca="1" si="40"/>
        <v>284.60992644787052</v>
      </c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>
        <f>+H75</f>
        <v>100.91013022450269</v>
      </c>
      <c r="I298" s="135">
        <f>+I75</f>
        <v>101.22532805211092</v>
      </c>
      <c r="J298" s="236">
        <f>+J75</f>
        <v>101.5551580431645</v>
      </c>
      <c r="K298" s="23">
        <f>+K317</f>
        <v>101.89686926219814</v>
      </c>
      <c r="L298" s="23">
        <f>+L317</f>
        <v>102.25037131335471</v>
      </c>
      <c r="M298" s="23">
        <f>+M317</f>
        <v>102.61458004154703</v>
      </c>
      <c r="N298" s="23">
        <f>+N317</f>
        <v>102.9884647971969</v>
      </c>
      <c r="O298" s="23">
        <f>+O317</f>
        <v>103.37104759455143</v>
      </c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>
        <f>+H300-H298</f>
        <v>5</v>
      </c>
      <c r="I299" s="136">
        <f>+I300-I298</f>
        <v>5</v>
      </c>
      <c r="J299" s="237">
        <f>+J300-J298</f>
        <v>5</v>
      </c>
      <c r="K299" s="111">
        <f>+J299</f>
        <v>5</v>
      </c>
      <c r="L299" s="111">
        <f>+K299</f>
        <v>5</v>
      </c>
      <c r="M299" s="111">
        <f>+L299</f>
        <v>5</v>
      </c>
      <c r="N299" s="111">
        <f>+M299</f>
        <v>5</v>
      </c>
      <c r="O299" s="111">
        <f>+N299</f>
        <v>5</v>
      </c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>
        <f>+H78</f>
        <v>105.91013022450269</v>
      </c>
      <c r="I300" s="238">
        <f>+I78</f>
        <v>106.22532805211092</v>
      </c>
      <c r="J300" s="239">
        <f>+J78</f>
        <v>106.5551580431645</v>
      </c>
      <c r="K300" s="187">
        <f>SUM(K298:K299)</f>
        <v>106.89686926219814</v>
      </c>
      <c r="L300" s="187">
        <f>SUM(L298:L299)</f>
        <v>107.25037131335471</v>
      </c>
      <c r="M300" s="187">
        <f>SUM(M298:M299)</f>
        <v>107.61458004154703</v>
      </c>
      <c r="N300" s="187">
        <f>SUM(N298:N299)</f>
        <v>107.9884647971969</v>
      </c>
      <c r="O300" s="187">
        <f>SUM(O298:O299)</f>
        <v>108.37104759455143</v>
      </c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>
        <f>+K269+K268</f>
        <v>11.111880686976447</v>
      </c>
      <c r="L302" s="111">
        <f>+L269+L268</f>
        <v>11.945271738499681</v>
      </c>
      <c r="M302" s="111">
        <f>+M269+M268</f>
        <v>12.871030298233407</v>
      </c>
      <c r="N302" s="111">
        <f>+N269+N268</f>
        <v>13.900712722092081</v>
      </c>
      <c r="O302" s="111">
        <f>+O269+O268</f>
        <v>15.047521521664677</v>
      </c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>
        <f>+K278</f>
        <v>-5</v>
      </c>
      <c r="L303" s="111">
        <f>+L278</f>
        <v>-5</v>
      </c>
      <c r="M303" s="111">
        <f>+M278</f>
        <v>-5</v>
      </c>
      <c r="N303" s="111">
        <f>+N278</f>
        <v>-5</v>
      </c>
      <c r="O303" s="111">
        <f>+O278</f>
        <v>-5</v>
      </c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>
        <f>SUM(K302:K303)</f>
        <v>6.1118806869764466</v>
      </c>
      <c r="L304" s="184">
        <f>SUM(L302:L303)</f>
        <v>6.9452717384996809</v>
      </c>
      <c r="M304" s="184">
        <f>SUM(M302:M303)</f>
        <v>7.8710302982334071</v>
      </c>
      <c r="N304" s="184">
        <f>SUM(N302:N303)</f>
        <v>8.9007127220920808</v>
      </c>
      <c r="O304" s="184">
        <f>SUM(O302:O303)</f>
        <v>10.047521521664677</v>
      </c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11">
        <f t="shared" ref="K306:O307" si="41">+K302/K$312</f>
        <v>0.62125792203275587</v>
      </c>
      <c r="L306" s="111">
        <f t="shared" si="41"/>
        <v>0.60799321036996257</v>
      </c>
      <c r="M306" s="111">
        <f t="shared" si="41"/>
        <v>0.59556899132970686</v>
      </c>
      <c r="N306" s="111">
        <f t="shared" si="41"/>
        <v>0.58391555167920139</v>
      </c>
      <c r="O306" s="111">
        <f t="shared" si="41"/>
        <v>0.57296944968943608</v>
      </c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11">
        <f t="shared" si="41"/>
        <v>-0.27954670299911255</v>
      </c>
      <c r="L307" s="111">
        <f t="shared" si="41"/>
        <v>-0.25449115921339688</v>
      </c>
      <c r="M307" s="111">
        <f t="shared" si="41"/>
        <v>-0.23136026313738486</v>
      </c>
      <c r="N307" s="111">
        <f t="shared" si="41"/>
        <v>-0.210030796029328</v>
      </c>
      <c r="O307" s="111">
        <f t="shared" si="41"/>
        <v>-0.19038665233490545</v>
      </c>
      <c r="Q307"/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187">
        <f>SUM(K306:K307)</f>
        <v>0.34171121903364332</v>
      </c>
      <c r="L308" s="187">
        <f>SUM(L306:L307)</f>
        <v>0.35350205115656569</v>
      </c>
      <c r="M308" s="187">
        <f>SUM(M306:M307)</f>
        <v>0.36420872819232197</v>
      </c>
      <c r="N308" s="187">
        <f>SUM(N306:N307)</f>
        <v>0.37388475564987339</v>
      </c>
      <c r="O308" s="187">
        <f>SUM(O306:O307)</f>
        <v>0.3825827973545306</v>
      </c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1.7886098982236514</v>
      </c>
      <c r="L310" s="252">
        <v>1.9647047918892071</v>
      </c>
      <c r="M310" s="252">
        <v>2.1611317052448769</v>
      </c>
      <c r="N310" s="252">
        <v>2.3806032708183502</v>
      </c>
      <c r="O310" s="252">
        <v>2.6262345278305528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185">
        <f>+K311</f>
        <v>10</v>
      </c>
      <c r="M311" s="185">
        <f>+L311</f>
        <v>10</v>
      </c>
      <c r="N311" s="185">
        <f>+M311</f>
        <v>10</v>
      </c>
      <c r="O311" s="185">
        <f>+N311</f>
        <v>10</v>
      </c>
      <c r="Q311"/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186">
        <f>+K310*K311</f>
        <v>17.886098982236515</v>
      </c>
      <c r="L312" s="186">
        <f>+L310*L311</f>
        <v>19.647047918892071</v>
      </c>
      <c r="M312" s="186">
        <f>+M310*M311</f>
        <v>21.611317052448769</v>
      </c>
      <c r="N312" s="186">
        <f>+N310*N311</f>
        <v>23.806032708183501</v>
      </c>
      <c r="O312" s="186">
        <f>+O310*O311</f>
        <v>26.262345278305528</v>
      </c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>
        <f>+J298</f>
        <v>101.5551580431645</v>
      </c>
      <c r="L315" s="111">
        <f>+K317</f>
        <v>101.89686926219814</v>
      </c>
      <c r="M315" s="111">
        <f>+L317</f>
        <v>102.25037131335471</v>
      </c>
      <c r="N315" s="111">
        <f>+M317</f>
        <v>102.61458004154703</v>
      </c>
      <c r="O315" s="111">
        <f>+N317</f>
        <v>102.9884647971969</v>
      </c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>
        <f>+K308</f>
        <v>0.34171121903364332</v>
      </c>
      <c r="L316" s="77">
        <f>+L308</f>
        <v>0.35350205115656569</v>
      </c>
      <c r="M316" s="77">
        <f>+M308</f>
        <v>0.36420872819232197</v>
      </c>
      <c r="N316" s="77">
        <f>+N308</f>
        <v>0.37388475564987339</v>
      </c>
      <c r="O316" s="77">
        <f>+O308</f>
        <v>0.3825827973545306</v>
      </c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>
        <f>SUM(K315:K316)</f>
        <v>101.89686926219814</v>
      </c>
      <c r="L317" s="189">
        <f>SUM(L315:L316)</f>
        <v>102.25037131335471</v>
      </c>
      <c r="M317" s="189">
        <f>SUM(M315:M316)</f>
        <v>102.61458004154703</v>
      </c>
      <c r="N317" s="189">
        <f>SUM(N315:N316)</f>
        <v>102.9884647971969</v>
      </c>
      <c r="O317" s="189">
        <f>SUM(O315:O316)</f>
        <v>103.37104759455143</v>
      </c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B319" s="26" t="s">
        <v>311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30"/>
      <c r="Q319"/>
      <c r="R319"/>
      <c r="S319"/>
      <c r="T319"/>
    </row>
    <row r="320" spans="2:23" ht="12.95" customHeight="1" x14ac:dyDescent="0.2">
      <c r="H320" s="23"/>
      <c r="I320" s="23"/>
      <c r="J320" s="23"/>
      <c r="P320" s="93"/>
      <c r="Q320" s="93"/>
      <c r="R320" s="93"/>
    </row>
    <row r="321" spans="2:18" ht="12.95" customHeight="1" x14ac:dyDescent="0.2">
      <c r="B321" s="362" t="s">
        <v>360</v>
      </c>
      <c r="C321" s="363"/>
      <c r="D321" s="363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7"/>
      <c r="Q321" s="367"/>
      <c r="R321" s="93"/>
    </row>
    <row r="322" spans="2:18" ht="12.95" customHeight="1" x14ac:dyDescent="0.2">
      <c r="B322" s="81" t="s">
        <v>103</v>
      </c>
      <c r="C322" s="81"/>
      <c r="D322" s="81"/>
      <c r="E322" s="81"/>
      <c r="F322" s="81"/>
      <c r="G322" s="81"/>
      <c r="H322" s="81"/>
      <c r="I322" s="81"/>
      <c r="J322" s="81"/>
      <c r="K322" s="364">
        <v>8.2500000000000059E-2</v>
      </c>
      <c r="L322" s="364">
        <v>8.5000000000000062E-2</v>
      </c>
      <c r="M322" s="364">
        <v>8.7500000000000064E-2</v>
      </c>
      <c r="N322" s="364">
        <v>9.0000000000000066E-2</v>
      </c>
      <c r="O322" s="364">
        <v>9.2500000000000068E-2</v>
      </c>
      <c r="P322" s="93"/>
      <c r="Q322" s="93"/>
      <c r="R322" s="93"/>
    </row>
    <row r="323" spans="2:18" ht="12.95" customHeight="1" x14ac:dyDescent="0.2">
      <c r="B323" s="81" t="s">
        <v>104</v>
      </c>
      <c r="C323" s="81"/>
      <c r="D323" s="81"/>
      <c r="E323" s="81"/>
      <c r="F323" s="81"/>
      <c r="G323" s="81"/>
      <c r="H323" s="81"/>
      <c r="I323" s="81"/>
      <c r="J323" s="81"/>
      <c r="K323" s="364">
        <v>7.2500000000000064E-2</v>
      </c>
      <c r="L323" s="364">
        <v>7.5000000000000067E-2</v>
      </c>
      <c r="M323" s="364">
        <v>7.7500000000000069E-2</v>
      </c>
      <c r="N323" s="364">
        <v>8.0000000000000071E-2</v>
      </c>
      <c r="O323" s="364">
        <v>8.2500000000000073E-2</v>
      </c>
      <c r="P323" s="93"/>
      <c r="Q323" s="93"/>
      <c r="R323" s="93"/>
    </row>
    <row r="324" spans="2:18" ht="12.95" customHeight="1" x14ac:dyDescent="0.2">
      <c r="B324" s="363" t="s">
        <v>105</v>
      </c>
      <c r="C324" s="363"/>
      <c r="D324" s="363"/>
      <c r="E324" s="363"/>
      <c r="F324" s="363"/>
      <c r="G324" s="363"/>
      <c r="H324" s="363"/>
      <c r="I324" s="363"/>
      <c r="J324" s="363"/>
      <c r="K324" s="365">
        <v>6.2500000000000069E-2</v>
      </c>
      <c r="L324" s="365">
        <v>6.5000000000000072E-2</v>
      </c>
      <c r="M324" s="365">
        <v>6.7500000000000074E-2</v>
      </c>
      <c r="N324" s="365">
        <v>7.0000000000000076E-2</v>
      </c>
      <c r="O324" s="365">
        <v>7.2500000000000078E-2</v>
      </c>
      <c r="P324" s="93"/>
      <c r="Q324" s="93"/>
      <c r="R324" s="93"/>
    </row>
    <row r="325" spans="2:18" ht="12.95" customHeight="1" x14ac:dyDescent="0.2">
      <c r="B325" s="447"/>
      <c r="C325" s="363"/>
      <c r="D325" s="363"/>
      <c r="E325" s="363"/>
      <c r="F325" s="363"/>
      <c r="G325" s="363"/>
      <c r="H325" s="363"/>
      <c r="I325" s="363"/>
      <c r="J325" s="363"/>
      <c r="K325" s="366"/>
      <c r="L325" s="366"/>
      <c r="M325" s="366"/>
      <c r="N325" s="366"/>
      <c r="O325" s="366"/>
      <c r="P325" s="93"/>
      <c r="Q325" s="93" t="s">
        <v>308</v>
      </c>
      <c r="R325" s="93"/>
    </row>
    <row r="326" spans="2:18" ht="12.95" customHeight="1" x14ac:dyDescent="0.2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8" ht="12.95" customHeight="1" x14ac:dyDescent="0.2">
      <c r="B327" s="362" t="s">
        <v>45</v>
      </c>
      <c r="C327" s="363"/>
      <c r="D327" s="363"/>
      <c r="E327" s="363"/>
      <c r="F327" s="363"/>
      <c r="G327" s="363"/>
      <c r="H327" s="363"/>
      <c r="I327" s="363"/>
      <c r="J327" s="363"/>
      <c r="K327" s="363"/>
      <c r="L327" s="363"/>
      <c r="M327" s="363"/>
      <c r="N327" s="363"/>
      <c r="O327" s="363"/>
    </row>
    <row r="328" spans="2:18" ht="12.95" customHeight="1" x14ac:dyDescent="0.2">
      <c r="B328" s="81" t="s">
        <v>103</v>
      </c>
      <c r="C328" s="81"/>
      <c r="D328" s="81"/>
      <c r="E328" s="81"/>
      <c r="F328" s="81"/>
      <c r="G328" s="81"/>
      <c r="H328" s="81"/>
      <c r="I328" s="81"/>
      <c r="J328" s="81"/>
      <c r="K328" s="364">
        <v>0.45150000000000001</v>
      </c>
      <c r="L328" s="364">
        <v>0.45350000000000001</v>
      </c>
      <c r="M328" s="364">
        <v>0.45550000000000002</v>
      </c>
      <c r="N328" s="364">
        <v>0.45750000000000002</v>
      </c>
      <c r="O328" s="364">
        <v>0.45950000000000002</v>
      </c>
    </row>
    <row r="329" spans="2:18" ht="12.95" customHeight="1" x14ac:dyDescent="0.2">
      <c r="B329" s="81" t="s">
        <v>104</v>
      </c>
      <c r="C329" s="81"/>
      <c r="D329" s="81"/>
      <c r="E329" s="81"/>
      <c r="F329" s="81"/>
      <c r="G329" s="81"/>
      <c r="H329" s="81"/>
      <c r="I329" s="81"/>
      <c r="J329" s="81"/>
      <c r="K329" s="364">
        <v>0.44400000000000001</v>
      </c>
      <c r="L329" s="364">
        <v>0.44600000000000001</v>
      </c>
      <c r="M329" s="364">
        <v>0.44800000000000001</v>
      </c>
      <c r="N329" s="364">
        <v>0.45</v>
      </c>
      <c r="O329" s="364">
        <v>0.45200000000000001</v>
      </c>
    </row>
    <row r="330" spans="2:18" ht="12.95" customHeight="1" x14ac:dyDescent="0.2">
      <c r="B330" s="363" t="s">
        <v>105</v>
      </c>
      <c r="C330" s="363"/>
      <c r="D330" s="363"/>
      <c r="E330" s="363"/>
      <c r="F330" s="363"/>
      <c r="G330" s="363"/>
      <c r="H330" s="363"/>
      <c r="I330" s="363"/>
      <c r="J330" s="363"/>
      <c r="K330" s="365">
        <v>0.4365</v>
      </c>
      <c r="L330" s="365">
        <v>0.4385</v>
      </c>
      <c r="M330" s="365">
        <v>0.4405</v>
      </c>
      <c r="N330" s="365">
        <v>0.4425</v>
      </c>
      <c r="O330" s="365">
        <v>0.44450000000000001</v>
      </c>
    </row>
    <row r="331" spans="2:18" ht="12.95" customHeight="1" x14ac:dyDescent="0.2">
      <c r="B331" s="447"/>
      <c r="C331" s="363"/>
      <c r="D331" s="363"/>
      <c r="E331" s="363"/>
      <c r="F331" s="363"/>
      <c r="G331" s="363"/>
      <c r="H331" s="363"/>
      <c r="I331" s="363"/>
      <c r="J331" s="363"/>
      <c r="K331" s="366"/>
      <c r="L331" s="366"/>
      <c r="M331" s="366"/>
      <c r="N331" s="366"/>
      <c r="O331" s="366"/>
      <c r="Q331" s="1" t="s">
        <v>309</v>
      </c>
    </row>
    <row r="332" spans="2:18" ht="12.95" customHeight="1" x14ac:dyDescent="0.2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8" ht="12.95" customHeight="1" x14ac:dyDescent="0.2">
      <c r="B333" s="362" t="s">
        <v>361</v>
      </c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</row>
    <row r="334" spans="2:18" ht="12.95" customHeight="1" x14ac:dyDescent="0.2">
      <c r="B334" s="81" t="s">
        <v>103</v>
      </c>
      <c r="C334" s="81"/>
      <c r="D334" s="81"/>
      <c r="E334" s="81"/>
      <c r="F334" s="81"/>
      <c r="G334" s="81"/>
      <c r="H334" s="81"/>
      <c r="I334" s="81"/>
      <c r="J334" s="81"/>
      <c r="K334" s="364">
        <v>0.26800000000000002</v>
      </c>
      <c r="L334" s="364">
        <v>0.26650000000000001</v>
      </c>
      <c r="M334" s="364">
        <v>0.26500000000000001</v>
      </c>
      <c r="N334" s="364">
        <v>0.26350000000000001</v>
      </c>
      <c r="O334" s="364">
        <v>0.26200000000000001</v>
      </c>
    </row>
    <row r="335" spans="2:18" ht="12.95" customHeight="1" x14ac:dyDescent="0.2">
      <c r="B335" s="81" t="s">
        <v>104</v>
      </c>
      <c r="C335" s="81"/>
      <c r="D335" s="81"/>
      <c r="E335" s="81"/>
      <c r="F335" s="81"/>
      <c r="G335" s="81"/>
      <c r="H335" s="81"/>
      <c r="I335" s="81"/>
      <c r="J335" s="81"/>
      <c r="K335" s="364">
        <v>0.27300000000000002</v>
      </c>
      <c r="L335" s="364">
        <v>0.27150000000000002</v>
      </c>
      <c r="M335" s="364">
        <v>0.27</v>
      </c>
      <c r="N335" s="364">
        <v>0.26850000000000002</v>
      </c>
      <c r="O335" s="364">
        <v>0.26700000000000002</v>
      </c>
    </row>
    <row r="336" spans="2:18" ht="12.95" customHeight="1" x14ac:dyDescent="0.2">
      <c r="B336" s="363" t="s">
        <v>105</v>
      </c>
      <c r="C336" s="363"/>
      <c r="D336" s="363"/>
      <c r="E336" s="363"/>
      <c r="F336" s="363"/>
      <c r="G336" s="363"/>
      <c r="H336" s="363"/>
      <c r="I336" s="363"/>
      <c r="J336" s="363"/>
      <c r="K336" s="365">
        <v>0.27800000000000002</v>
      </c>
      <c r="L336" s="365">
        <v>0.27650000000000002</v>
      </c>
      <c r="M336" s="365">
        <v>0.27500000000000002</v>
      </c>
      <c r="N336" s="365">
        <v>0.27350000000000002</v>
      </c>
      <c r="O336" s="365">
        <v>0.27200000000000002</v>
      </c>
    </row>
    <row r="337" spans="2:17" ht="12.95" customHeight="1" x14ac:dyDescent="0.2">
      <c r="B337" s="447"/>
      <c r="C337" s="363"/>
      <c r="D337" s="363"/>
      <c r="E337" s="363"/>
      <c r="F337" s="363"/>
      <c r="G337" s="363"/>
      <c r="H337" s="363"/>
      <c r="I337" s="363"/>
      <c r="J337" s="363"/>
      <c r="K337" s="366"/>
      <c r="L337" s="366"/>
      <c r="M337" s="366"/>
      <c r="N337" s="366"/>
      <c r="O337" s="366"/>
      <c r="Q337" s="1" t="s">
        <v>310</v>
      </c>
    </row>
  </sheetData>
  <conditionalFormatting sqref="A247:A262 A264:A272 A309:A318 A328:A1048576 A274:A290 A1:A245 A292:A305">
    <cfRule type="expression" dxfId="56" priority="7">
      <formula>$D$18&gt;0</formula>
    </cfRule>
  </conditionalFormatting>
  <conditionalFormatting sqref="A246">
    <cfRule type="expression" dxfId="55" priority="6">
      <formula>$D$18&gt;0</formula>
    </cfRule>
  </conditionalFormatting>
  <conditionalFormatting sqref="A263">
    <cfRule type="expression" dxfId="54" priority="5">
      <formula>$D$18&gt;0</formula>
    </cfRule>
  </conditionalFormatting>
  <conditionalFormatting sqref="A273">
    <cfRule type="expression" dxfId="53" priority="4">
      <formula>$D$18&gt;0</formula>
    </cfRule>
  </conditionalFormatting>
  <conditionalFormatting sqref="A281">
    <cfRule type="expression" dxfId="52" priority="3">
      <formula>$D$18&gt;0</formula>
    </cfRule>
  </conditionalFormatting>
  <conditionalFormatting sqref="A291">
    <cfRule type="expression" dxfId="51" priority="2">
      <formula>$D$18&gt;0</formula>
    </cfRule>
  </conditionalFormatting>
  <conditionalFormatting sqref="A306:A308">
    <cfRule type="expression" dxfId="50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8" manualBreakCount="8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  <brk id="317" min="1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3A148-2593-4BC9-A179-7B75AEC0E173}">
  <dimension ref="A2:X349"/>
  <sheetViews>
    <sheetView showGridLines="0" topLeftCell="A315" zoomScale="115" zoomScaleNormal="115" zoomScaleSheetLayoutView="85" workbookViewId="0">
      <selection activeCell="B327" sqref="B327"/>
    </sheetView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332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333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+IF(SUM(H130:O130)=0,0,1)</f>
        <v>0</v>
      </c>
    </row>
    <row r="17" spans="1:15" ht="12.95" customHeight="1" x14ac:dyDescent="0.2">
      <c r="B17" s="1" t="s">
        <v>8</v>
      </c>
      <c r="D17" s="259">
        <f ca="1">+IF(SUM(K225:O225)=0,0,1)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ca="1" si="0"/>
        <v>1478.7282679410305</v>
      </c>
      <c r="L27" s="147">
        <f t="shared" ca="1" si="0"/>
        <v>1589.6328880366079</v>
      </c>
      <c r="M27" s="147">
        <f t="shared" ca="1" si="0"/>
        <v>1712.8294368594452</v>
      </c>
      <c r="N27" s="147">
        <f t="shared" ca="1" si="0"/>
        <v>1849.8557918082008</v>
      </c>
      <c r="O27" s="147">
        <f t="shared" ca="1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ca="1" si="1"/>
        <v>7.2500000000000009E-2</v>
      </c>
      <c r="L28" s="218">
        <f t="shared" ca="1" si="1"/>
        <v>7.5000000000000178E-2</v>
      </c>
      <c r="M28" s="218">
        <f t="shared" ca="1" si="1"/>
        <v>7.7500000000000124E-2</v>
      </c>
      <c r="N28" s="218">
        <f t="shared" ca="1" si="1"/>
        <v>8.0000000000000071E-2</v>
      </c>
      <c r="O28" s="218">
        <f t="shared" ca="1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ca="1" si="2"/>
        <v>272.82536543511998</v>
      </c>
      <c r="L29" s="147">
        <f t="shared" ca="1" si="2"/>
        <v>299.64579939490051</v>
      </c>
      <c r="M29" s="147">
        <f t="shared" ca="1" si="2"/>
        <v>329.71966659544307</v>
      </c>
      <c r="N29" s="147">
        <f t="shared" ca="1" si="2"/>
        <v>363.49666309031136</v>
      </c>
      <c r="O29" s="147">
        <f t="shared" ca="1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ca="1" si="3"/>
        <v>0.18449999999999991</v>
      </c>
      <c r="L30" s="218">
        <f t="shared" ca="1" si="3"/>
        <v>0.18849999999999995</v>
      </c>
      <c r="M30" s="218">
        <f t="shared" ca="1" si="3"/>
        <v>0.19249999999999992</v>
      </c>
      <c r="N30" s="218">
        <f t="shared" ca="1" si="3"/>
        <v>0.19649999999999995</v>
      </c>
      <c r="O30" s="218">
        <f t="shared" ca="1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 ca="1">-K173</f>
        <v>21.441559885144944</v>
      </c>
      <c r="L33" s="160">
        <f ca="1">-L173</f>
        <v>23.84449332054912</v>
      </c>
      <c r="M33" s="160">
        <f ca="1">-M173</f>
        <v>26.548856271321402</v>
      </c>
      <c r="N33" s="160">
        <f ca="1">-N173</f>
        <v>29.597692668931213</v>
      </c>
      <c r="O33" s="160">
        <f ca="1">-O173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 ca="1">+K33/K27</f>
        <v>1.4500000000000001E-2</v>
      </c>
      <c r="L34" s="218">
        <f ca="1">+L33/L27</f>
        <v>1.5000000000000001E-2</v>
      </c>
      <c r="M34" s="218">
        <f ca="1">+M33/M27</f>
        <v>1.55E-2</v>
      </c>
      <c r="N34" s="218">
        <f ca="1">+N33/N27</f>
        <v>1.6E-2</v>
      </c>
      <c r="O34" s="218">
        <f ca="1"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328</v>
      </c>
      <c r="H38" s="143"/>
      <c r="I38" s="143"/>
      <c r="J38" s="120"/>
      <c r="K38" s="118">
        <f ca="1">+K84+K157</f>
        <v>283.93724612209644</v>
      </c>
      <c r="L38" s="118">
        <f t="shared" ref="L38:O38" ca="1" si="4">+L84+L157</f>
        <v>311.59107113340019</v>
      </c>
      <c r="M38" s="118">
        <f t="shared" ca="1" si="4"/>
        <v>342.59069689367647</v>
      </c>
      <c r="N38" s="118">
        <f t="shared" ca="1" si="4"/>
        <v>377.39737581240342</v>
      </c>
      <c r="O38" s="118">
        <f t="shared" ca="1" si="4"/>
        <v>416.54253489545624</v>
      </c>
    </row>
    <row r="39" spans="2:15" ht="12.95" customHeight="1" x14ac:dyDescent="0.2">
      <c r="B39" s="1" t="s">
        <v>330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 ca="1">+K168</f>
        <v>-10.511989007322436</v>
      </c>
      <c r="L41" s="137">
        <f ca="1">+L168</f>
        <v>-11.660916381467509</v>
      </c>
      <c r="M41" s="137">
        <f ca="1">+M168</f>
        <v>-12.951044653209886</v>
      </c>
      <c r="N41" s="137">
        <f ca="1">+N168</f>
        <v>-14.402236689579912</v>
      </c>
      <c r="O41" s="137">
        <f ca="1">+O168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 ca="1">-K33</f>
        <v>-21.441559885144944</v>
      </c>
      <c r="L42" s="137">
        <f ca="1">-L33</f>
        <v>-23.84449332054912</v>
      </c>
      <c r="M42" s="137">
        <f ca="1">-M33</f>
        <v>-26.548856271321402</v>
      </c>
      <c r="N42" s="137">
        <f ca="1">-N33</f>
        <v>-29.597692668931213</v>
      </c>
      <c r="O42" s="137">
        <f ca="1"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5">+K121</f>
        <v>0</v>
      </c>
      <c r="L49" s="137">
        <f t="shared" ca="1" si="5"/>
        <v>0</v>
      </c>
      <c r="M49" s="137">
        <f t="shared" ca="1" si="5"/>
        <v>0</v>
      </c>
      <c r="N49" s="137">
        <f t="shared" ca="1" si="5"/>
        <v>0</v>
      </c>
      <c r="O49" s="137">
        <f t="shared" ca="1" si="5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5"/>
        <v>50</v>
      </c>
      <c r="L50" s="140">
        <f t="shared" si="5"/>
        <v>50</v>
      </c>
      <c r="M50" s="140">
        <f t="shared" si="5"/>
        <v>50</v>
      </c>
      <c r="N50" s="140">
        <f t="shared" si="5"/>
        <v>50</v>
      </c>
      <c r="O50" s="140">
        <f t="shared" si="5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1012.785947090466</v>
      </c>
      <c r="L52" s="140">
        <f t="shared" ref="L52:O52" ca="1" si="6">+SUM(L125:L127)</f>
        <v>1219.9109434886702</v>
      </c>
      <c r="M52" s="140">
        <f t="shared" ca="1" si="6"/>
        <v>1448.7232675914715</v>
      </c>
      <c r="N52" s="140">
        <f t="shared" ca="1" si="6"/>
        <v>1701.8488422858063</v>
      </c>
      <c r="O52" s="140">
        <f t="shared" ca="1" si="6"/>
        <v>1982.2757939329481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1062.7859470904659</v>
      </c>
      <c r="L53" s="147">
        <f ca="1">SUM(L51:L52)</f>
        <v>1269.9109434886702</v>
      </c>
      <c r="M53" s="147">
        <f ca="1">SUM(M51:M52)</f>
        <v>1498.7232675914715</v>
      </c>
      <c r="N53" s="147">
        <f ca="1">SUM(N51:N52)</f>
        <v>1751.8488422858063</v>
      </c>
      <c r="O53" s="147">
        <f ca="1">SUM(O51:O52)</f>
        <v>2032.2757939329481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285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 ca="1">+J64*(1+K89)</f>
        <v>1478.7282679410305</v>
      </c>
      <c r="L64" s="195">
        <f ca="1">+K64*(1+L89)</f>
        <v>1589.6328880366079</v>
      </c>
      <c r="M64" s="195">
        <f ca="1">+L64*(1+M89)</f>
        <v>1712.8294368594452</v>
      </c>
      <c r="N64" s="195">
        <f ca="1">+M64*(1+N89)</f>
        <v>1849.8557918082008</v>
      </c>
      <c r="O64" s="195">
        <f ca="1"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 ca="1">-(K64*(1-K90))</f>
        <v>-822.17291697521307</v>
      </c>
      <c r="L65" s="153">
        <f ca="1">-(L64*(1-L90))</f>
        <v>-880.65661997228085</v>
      </c>
      <c r="M65" s="153">
        <f ca="1">-(M64*(1-M90))</f>
        <v>-945.48184914641388</v>
      </c>
      <c r="N65" s="153">
        <f ca="1">-(N64*(1-N90))</f>
        <v>-1017.4206854945105</v>
      </c>
      <c r="O65" s="153">
        <f ca="1"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7">SUM(H64:H65)</f>
        <v>529.94622062969995</v>
      </c>
      <c r="I66" s="53">
        <f t="shared" si="7"/>
        <v>566.96986070108994</v>
      </c>
      <c r="J66" s="54">
        <f t="shared" si="7"/>
        <v>609.41528618175801</v>
      </c>
      <c r="K66" s="134">
        <f t="shared" ca="1" si="7"/>
        <v>656.55535096581741</v>
      </c>
      <c r="L66" s="135">
        <f t="shared" ca="1" si="7"/>
        <v>708.97626806432709</v>
      </c>
      <c r="M66" s="135">
        <f t="shared" ca="1" si="7"/>
        <v>767.34758771303132</v>
      </c>
      <c r="N66" s="135">
        <f t="shared" ca="1" si="7"/>
        <v>832.43510631369031</v>
      </c>
      <c r="O66" s="135">
        <f t="shared" ca="1" si="7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 ca="1">-K64*K91</f>
        <v>-403.69281714790134</v>
      </c>
      <c r="L67" s="135">
        <f ca="1">-L64*L91</f>
        <v>-431.58532910193907</v>
      </c>
      <c r="M67" s="135">
        <f ca="1">-M64*M91</f>
        <v>-462.46394795205021</v>
      </c>
      <c r="N67" s="135">
        <f ca="1">-N64*N91</f>
        <v>-496.68628010050196</v>
      </c>
      <c r="O67" s="135">
        <f ca="1"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8">+SUM(H66:H67)</f>
        <v>194.19262194307487</v>
      </c>
      <c r="I68" s="55">
        <f t="shared" si="8"/>
        <v>211.32512989767895</v>
      </c>
      <c r="J68" s="56">
        <f t="shared" si="8"/>
        <v>230.9435756458019</v>
      </c>
      <c r="K68" s="196">
        <f t="shared" ca="1" si="8"/>
        <v>252.86253381791607</v>
      </c>
      <c r="L68" s="196">
        <f t="shared" ca="1" si="8"/>
        <v>277.39093896238802</v>
      </c>
      <c r="M68" s="196">
        <f t="shared" ca="1" si="8"/>
        <v>304.88363976098111</v>
      </c>
      <c r="N68" s="196">
        <f t="shared" ca="1" si="8"/>
        <v>335.74882621318835</v>
      </c>
      <c r="O68" s="196">
        <f t="shared" ca="1" si="8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5" ht="12.95" customHeight="1" x14ac:dyDescent="0.2">
      <c r="B71" s="1" t="s">
        <v>37</v>
      </c>
      <c r="H71" s="53">
        <f t="shared" ref="H71:O71" si="9">+SUM(H68:H70)</f>
        <v>195.11265228478928</v>
      </c>
      <c r="I71" s="53">
        <f t="shared" si="9"/>
        <v>213.63592421907794</v>
      </c>
      <c r="J71" s="54">
        <f t="shared" si="9"/>
        <v>234.77863638934826</v>
      </c>
      <c r="K71" s="134">
        <f t="shared" ca="1" si="9"/>
        <v>258.37410700830594</v>
      </c>
      <c r="L71" s="134">
        <f t="shared" ca="1" si="9"/>
        <v>284.75067519161416</v>
      </c>
      <c r="M71" s="134">
        <f t="shared" ca="1" si="9"/>
        <v>314.28349047591439</v>
      </c>
      <c r="N71" s="134">
        <f t="shared" ca="1" si="9"/>
        <v>347.40378658925005</v>
      </c>
      <c r="O71" s="134">
        <f t="shared" ca="1" si="9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10">+SUM(H71:H72)</f>
        <v>144.38336269074406</v>
      </c>
      <c r="I73" s="55">
        <f t="shared" si="10"/>
        <v>158.09058392211767</v>
      </c>
      <c r="J73" s="56">
        <f t="shared" si="10"/>
        <v>173.73619092811771</v>
      </c>
      <c r="K73" s="145">
        <f t="shared" ca="1" si="10"/>
        <v>191.19683918614641</v>
      </c>
      <c r="L73" s="145">
        <f t="shared" ca="1" si="10"/>
        <v>210.71549964179448</v>
      </c>
      <c r="M73" s="145">
        <f t="shared" ca="1" si="10"/>
        <v>232.56978295217664</v>
      </c>
      <c r="N73" s="145">
        <f t="shared" ca="1" si="10"/>
        <v>257.07880207604501</v>
      </c>
      <c r="O73" s="145">
        <f t="shared" ca="1" si="10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 ca="1">+K298</f>
        <v>101.89686926219814</v>
      </c>
      <c r="L75" s="193">
        <f ca="1">+L298</f>
        <v>102.25037131335471</v>
      </c>
      <c r="M75" s="193">
        <f ca="1">+M298</f>
        <v>102.61458004154703</v>
      </c>
      <c r="N75" s="193">
        <f ca="1">+N298</f>
        <v>102.9884647971969</v>
      </c>
      <c r="O75" s="193">
        <f ca="1">+O298</f>
        <v>103.37104759455143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1">+H73/H75</f>
        <v>1.4308113800816931</v>
      </c>
      <c r="I76" s="126">
        <f t="shared" si="11"/>
        <v>1.5617690450035633</v>
      </c>
      <c r="J76" s="127">
        <f t="shared" si="11"/>
        <v>1.7107569352043521</v>
      </c>
      <c r="K76" s="200">
        <f t="shared" ca="1" si="11"/>
        <v>1.8763759924180214</v>
      </c>
      <c r="L76" s="200">
        <f t="shared" ca="1" si="11"/>
        <v>2.0607797989900636</v>
      </c>
      <c r="M76" s="200">
        <f t="shared" ca="1" si="11"/>
        <v>2.266439943115421</v>
      </c>
      <c r="N76" s="200">
        <f t="shared" ca="1" si="11"/>
        <v>2.4961902537558953</v>
      </c>
      <c r="O76" s="200">
        <f t="shared" ca="1" si="11"/>
        <v>2.7532847259533044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 ca="1">+K300</f>
        <v>106.89686926219814</v>
      </c>
      <c r="L78" s="193">
        <f ca="1">+L300</f>
        <v>107.25037131335471</v>
      </c>
      <c r="M78" s="193">
        <f ca="1">+M300</f>
        <v>107.61458004154703</v>
      </c>
      <c r="N78" s="193">
        <f ca="1">+N300</f>
        <v>107.9884647971969</v>
      </c>
      <c r="O78" s="193">
        <f ca="1">+O300</f>
        <v>108.37104759455143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2">+H73/H78</f>
        <v>1.3632630078415335</v>
      </c>
      <c r="I79" s="126">
        <f t="shared" si="12"/>
        <v>1.4882569611323133</v>
      </c>
      <c r="J79" s="127">
        <f t="shared" si="12"/>
        <v>1.6304812842353329</v>
      </c>
      <c r="K79" s="200">
        <f t="shared" ca="1" si="12"/>
        <v>1.7886102792886864</v>
      </c>
      <c r="L79" s="200">
        <f t="shared" ca="1" si="12"/>
        <v>1.9647064813057333</v>
      </c>
      <c r="M79" s="200">
        <f t="shared" ca="1" si="12"/>
        <v>2.1611363707630309</v>
      </c>
      <c r="N79" s="200">
        <f t="shared" ca="1" si="12"/>
        <v>2.3806135457045419</v>
      </c>
      <c r="O79" s="200">
        <f t="shared" ca="1" si="12"/>
        <v>2.6262542696152718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13">+H68</f>
        <v>194.19262194307487</v>
      </c>
      <c r="I82" s="53">
        <f t="shared" si="13"/>
        <v>211.32512989767895</v>
      </c>
      <c r="J82" s="54">
        <f t="shared" si="13"/>
        <v>230.9435756458019</v>
      </c>
      <c r="K82" s="197">
        <f t="shared" ca="1" si="13"/>
        <v>252.86253381791607</v>
      </c>
      <c r="L82" s="197">
        <f t="shared" ca="1" si="13"/>
        <v>277.39093896238802</v>
      </c>
      <c r="M82" s="197">
        <f t="shared" ca="1" si="13"/>
        <v>304.88363976098111</v>
      </c>
      <c r="N82" s="197">
        <f t="shared" ca="1" si="13"/>
        <v>335.74882621318835</v>
      </c>
      <c r="O82" s="197">
        <f t="shared" ca="1" si="13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 ca="1">+K156</f>
        <v>19.962831617203911</v>
      </c>
      <c r="L83" s="134">
        <f ca="1">+L156</f>
        <v>22.254860432512512</v>
      </c>
      <c r="M83" s="134">
        <f ca="1">+M156</f>
        <v>24.836026834461958</v>
      </c>
      <c r="N83" s="134">
        <f ca="1">+N156</f>
        <v>27.747836877123014</v>
      </c>
      <c r="O83" s="134">
        <f ca="1">+O156</f>
        <v>31.038267866801853</v>
      </c>
    </row>
    <row r="84" spans="2:15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ca="1" si="14"/>
        <v>272.82536543511998</v>
      </c>
      <c r="L84" s="197">
        <f t="shared" ca="1" si="14"/>
        <v>299.64579939490051</v>
      </c>
      <c r="M84" s="197">
        <f t="shared" ca="1" si="14"/>
        <v>329.71966659544307</v>
      </c>
      <c r="N84" s="197">
        <f t="shared" ca="1" si="14"/>
        <v>363.49666309031136</v>
      </c>
      <c r="O84" s="197">
        <f t="shared" ca="1" si="14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ca="1" si="15"/>
        <v>272.82536543511998</v>
      </c>
      <c r="L86" s="145">
        <f t="shared" ca="1" si="15"/>
        <v>299.64579939490051</v>
      </c>
      <c r="M86" s="145">
        <f t="shared" ca="1" si="15"/>
        <v>329.71966659544307</v>
      </c>
      <c r="N86" s="145">
        <f t="shared" ca="1" si="15"/>
        <v>363.49666309031136</v>
      </c>
      <c r="O86" s="145">
        <f t="shared" ca="1" si="15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71">
        <f ca="1">+K325</f>
        <v>7.2500000000000064E-2</v>
      </c>
      <c r="L89" s="61">
        <f t="shared" ref="L89:O89" ca="1" si="16">+L325</f>
        <v>7.5000000000000067E-2</v>
      </c>
      <c r="M89" s="61">
        <f t="shared" ca="1" si="16"/>
        <v>7.7500000000000069E-2</v>
      </c>
      <c r="N89" s="61">
        <f t="shared" ca="1" si="16"/>
        <v>8.0000000000000071E-2</v>
      </c>
      <c r="O89" s="61">
        <f t="shared" ca="1" si="16"/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71">
        <f ca="1">+K331</f>
        <v>0.44400000000000001</v>
      </c>
      <c r="L90" s="61">
        <f t="shared" ref="L90:O90" ca="1" si="17">+L331</f>
        <v>0.44600000000000001</v>
      </c>
      <c r="M90" s="61">
        <f t="shared" ca="1" si="17"/>
        <v>0.44800000000000001</v>
      </c>
      <c r="N90" s="61">
        <f t="shared" ca="1" si="17"/>
        <v>0.45</v>
      </c>
      <c r="O90" s="61">
        <f t="shared" ca="1" si="17"/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71">
        <f ca="1">+K337</f>
        <v>0.27300000000000002</v>
      </c>
      <c r="L91" s="61">
        <f t="shared" ref="L91:O91" ca="1" si="18">+L337</f>
        <v>0.27150000000000002</v>
      </c>
      <c r="M91" s="61">
        <f t="shared" ca="1" si="18"/>
        <v>0.27</v>
      </c>
      <c r="N91" s="61">
        <f t="shared" ca="1" si="18"/>
        <v>0.26850000000000002</v>
      </c>
      <c r="O91" s="61">
        <f t="shared" ca="1" si="18"/>
        <v>0.26700000000000002</v>
      </c>
    </row>
    <row r="92" spans="2:15" ht="12.95" customHeight="1" x14ac:dyDescent="0.2">
      <c r="B92" s="1" t="s">
        <v>47</v>
      </c>
      <c r="H92" s="63">
        <f t="shared" ref="H92:O92" si="19">+H86/H64</f>
        <v>0.17422744656671477</v>
      </c>
      <c r="I92" s="63">
        <f t="shared" si="19"/>
        <v>0.17956985466122871</v>
      </c>
      <c r="J92" s="64">
        <f t="shared" si="19"/>
        <v>0.18231321346059967</v>
      </c>
      <c r="K92" s="190">
        <f t="shared" ca="1" si="19"/>
        <v>0.18449999999999991</v>
      </c>
      <c r="L92" s="63">
        <f t="shared" ca="1" si="19"/>
        <v>0.18849999999999995</v>
      </c>
      <c r="M92" s="63">
        <f t="shared" ca="1" si="19"/>
        <v>0.19249999999999992</v>
      </c>
      <c r="N92" s="63">
        <f t="shared" ca="1" si="19"/>
        <v>0.19649999999999995</v>
      </c>
      <c r="O92" s="63">
        <f t="shared" ca="1" si="19"/>
        <v>0.20049999999999993</v>
      </c>
    </row>
    <row r="93" spans="2:15" ht="12.95" customHeight="1" x14ac:dyDescent="0.2">
      <c r="B93" s="1" t="s">
        <v>152</v>
      </c>
      <c r="I93" s="63">
        <f t="shared" ref="I93:O93" si="20">+I86/H86-1</f>
        <v>9.7656534505765391E-2</v>
      </c>
      <c r="J93" s="64">
        <f t="shared" si="20"/>
        <v>8.6346807880781418E-2</v>
      </c>
      <c r="K93" s="190">
        <f t="shared" ca="1" si="20"/>
        <v>8.536428185312861E-2</v>
      </c>
      <c r="L93" s="63">
        <f t="shared" ca="1" si="20"/>
        <v>9.8306233062330994E-2</v>
      </c>
      <c r="M93" s="63">
        <f t="shared" ca="1" si="20"/>
        <v>0.10036472148541109</v>
      </c>
      <c r="N93" s="63">
        <f t="shared" ca="1" si="20"/>
        <v>0.10244155844155856</v>
      </c>
      <c r="O93" s="63">
        <f t="shared" ca="1" si="20"/>
        <v>0.10453562340966926</v>
      </c>
    </row>
    <row r="94" spans="2:15" ht="12.95" customHeight="1" x14ac:dyDescent="0.2">
      <c r="B94" s="1" t="s">
        <v>136</v>
      </c>
      <c r="I94" s="63">
        <f t="shared" ref="I94:O94" si="21">+I73/H73-1</f>
        <v>9.493629304598783E-2</v>
      </c>
      <c r="J94" s="64">
        <f t="shared" si="21"/>
        <v>9.896609031254977E-2</v>
      </c>
      <c r="K94" s="190">
        <f t="shared" ca="1" si="21"/>
        <v>0.10050092709384262</v>
      </c>
      <c r="L94" s="63">
        <f t="shared" ca="1" si="21"/>
        <v>0.10208673186613204</v>
      </c>
      <c r="M94" s="63">
        <f t="shared" ca="1" si="21"/>
        <v>0.10371464532762564</v>
      </c>
      <c r="N94" s="63">
        <f t="shared" ca="1" si="21"/>
        <v>0.10538350602884705</v>
      </c>
      <c r="O94" s="63">
        <f t="shared" ca="1" si="21"/>
        <v>0.10709216065073179</v>
      </c>
    </row>
    <row r="95" spans="2:15" ht="12.95" customHeight="1" x14ac:dyDescent="0.2">
      <c r="B95" s="1" t="s">
        <v>137</v>
      </c>
      <c r="I95" s="63">
        <f t="shared" ref="I95:O95" si="22">+I79/H79-1</f>
        <v>9.168733587855793E-2</v>
      </c>
      <c r="J95" s="64">
        <f t="shared" si="22"/>
        <v>9.5564359393159437E-2</v>
      </c>
      <c r="K95" s="190">
        <f t="shared" ca="1" si="22"/>
        <v>9.6983017580305031E-2</v>
      </c>
      <c r="L95" s="63">
        <f t="shared" ca="1" si="22"/>
        <v>9.8454204393300548E-2</v>
      </c>
      <c r="M95" s="63">
        <f t="shared" ca="1" si="22"/>
        <v>9.9979254573818732E-2</v>
      </c>
      <c r="N95" s="63">
        <f t="shared" ca="1" si="22"/>
        <v>0.10155637465118428</v>
      </c>
      <c r="O95" s="63">
        <f t="shared" ca="1" si="22"/>
        <v>0.1031837882103761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3">+H83/H64</f>
        <v>1.0999999999999999E-2</v>
      </c>
      <c r="I97" s="65">
        <f t="shared" si="23"/>
        <v>1.2E-2</v>
      </c>
      <c r="J97" s="167">
        <f t="shared" si="23"/>
        <v>1.2999999999999999E-2</v>
      </c>
      <c r="K97" s="76">
        <f t="shared" ca="1" si="23"/>
        <v>1.35E-2</v>
      </c>
      <c r="L97" s="76">
        <f t="shared" ca="1" si="23"/>
        <v>1.4E-2</v>
      </c>
      <c r="M97" s="76">
        <f t="shared" ca="1" si="23"/>
        <v>1.4500000000000001E-2</v>
      </c>
      <c r="N97" s="76">
        <f t="shared" ca="1" si="23"/>
        <v>1.5000000000000001E-2</v>
      </c>
      <c r="O97" s="76">
        <f t="shared" ca="1" si="2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 ca="1">+(K138/365)*K133</f>
        <v>121.53930969378332</v>
      </c>
      <c r="L104" s="135">
        <f ca="1">+(L138/365)*L133</f>
        <v>130.65475792081708</v>
      </c>
      <c r="M104" s="135">
        <f ca="1">+(M138/365)*M133</f>
        <v>140.78050165968043</v>
      </c>
      <c r="N104" s="135">
        <f ca="1">+(N138/365)*N133</f>
        <v>152.04294179245485</v>
      </c>
      <c r="O104" s="135">
        <f ca="1"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 ca="1">+K134/K139</f>
        <v>164.43458339504261</v>
      </c>
      <c r="L105" s="137">
        <f ca="1">+L134/L139</f>
        <v>176.13132399445618</v>
      </c>
      <c r="M105" s="137">
        <f ca="1">+M134/M139</f>
        <v>189.09636982928276</v>
      </c>
      <c r="N105" s="137">
        <f ca="1">+N134/N139</f>
        <v>203.4841370989021</v>
      </c>
      <c r="O105" s="137">
        <f ca="1"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 ca="1">+K140*K133</f>
        <v>38.446934966466785</v>
      </c>
      <c r="L106" s="140">
        <f ca="1">+L140*L133</f>
        <v>41.330455088951801</v>
      </c>
      <c r="M106" s="140">
        <f ca="1">+M140*M133</f>
        <v>44.53356535834557</v>
      </c>
      <c r="N106" s="140">
        <f ca="1">+N140*N133</f>
        <v>48.096250587013216</v>
      </c>
      <c r="O106" s="140">
        <f ca="1"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4">+SUM(H103:H106)</f>
        <v>675.32399663851754</v>
      </c>
      <c r="I107" s="147">
        <f t="shared" si="24"/>
        <v>837.46596294440201</v>
      </c>
      <c r="J107" s="123">
        <f t="shared" si="24"/>
        <v>1016.3200283350651</v>
      </c>
      <c r="K107" s="154">
        <f t="shared" ca="1" si="24"/>
        <v>1213.4572274135542</v>
      </c>
      <c r="L107" s="147">
        <f t="shared" ca="1" si="24"/>
        <v>1431.0273834911868</v>
      </c>
      <c r="M107" s="147">
        <f t="shared" ca="1" si="24"/>
        <v>1671.4697333470026</v>
      </c>
      <c r="N107" s="147">
        <f t="shared" ca="1" si="24"/>
        <v>1937.5561081910107</v>
      </c>
      <c r="O107" s="147">
        <f t="shared" ca="1" si="24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 ca="1">+K258</f>
        <v>7.5793538046166198</v>
      </c>
      <c r="L109" s="136">
        <f ca="1">+L258</f>
        <v>9.1689866926532275</v>
      </c>
      <c r="M109" s="136">
        <f ca="1">+M258</f>
        <v>10.881816129512675</v>
      </c>
      <c r="N109" s="136">
        <f ca="1">+N258</f>
        <v>12.731671921320874</v>
      </c>
      <c r="O109" s="136">
        <f ca="1"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 ca="1">+K141*K133</f>
        <v>59.149130717641221</v>
      </c>
      <c r="L111" s="137">
        <f ca="1">+L141*L133</f>
        <v>63.585315521464317</v>
      </c>
      <c r="M111" s="137">
        <f ca="1">+M141*M133</f>
        <v>68.513177474377812</v>
      </c>
      <c r="N111" s="137">
        <f ca="1">+N141*N133</f>
        <v>73.994231672328041</v>
      </c>
      <c r="O111" s="137">
        <f ca="1"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5">+SUM(H107:H111)</f>
        <v>737.15420182016749</v>
      </c>
      <c r="I112" s="145">
        <f t="shared" si="25"/>
        <v>903.73053547447171</v>
      </c>
      <c r="J112" s="146">
        <f t="shared" si="25"/>
        <v>1087.5713585035742</v>
      </c>
      <c r="K112" s="145">
        <f t="shared" ca="1" si="25"/>
        <v>1290.1857119358119</v>
      </c>
      <c r="L112" s="145">
        <f t="shared" ca="1" si="25"/>
        <v>1513.7816857053044</v>
      </c>
      <c r="M112" s="145">
        <f t="shared" ca="1" si="25"/>
        <v>1760.8647269508929</v>
      </c>
      <c r="N112" s="145">
        <f t="shared" ca="1" si="25"/>
        <v>2034.2820117846595</v>
      </c>
      <c r="O112" s="145">
        <f t="shared" ca="1" si="25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 ca="1">+(K143/365)*K134</f>
        <v>67.575856189743533</v>
      </c>
      <c r="L114" s="137">
        <f ca="1">+(L143/365)*L134</f>
        <v>72.382735888132672</v>
      </c>
      <c r="M114" s="137">
        <f ca="1">+(M143/365)*M134</f>
        <v>77.710836916143606</v>
      </c>
      <c r="N114" s="137">
        <f ca="1">+(N143/365)*N134</f>
        <v>83.623617985850174</v>
      </c>
      <c r="O114" s="137">
        <f ca="1"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 ca="1">+SUM(K134:K135)*K144</f>
        <v>71.100212579140646</v>
      </c>
      <c r="L115" s="137">
        <f ca="1">+SUM(L134:L135)*L144</f>
        <v>76.110033046304778</v>
      </c>
      <c r="M115" s="137">
        <f ca="1">+SUM(M134:M135)*M144</f>
        <v>81.660856231710923</v>
      </c>
      <c r="N115" s="137">
        <f ca="1">+SUM(N134:N135)*N144</f>
        <v>87.818204004510747</v>
      </c>
      <c r="O115" s="137">
        <f ca="1"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 ca="1">+K133*K145</f>
        <v>73.936413397051524</v>
      </c>
      <c r="L116" s="140">
        <f ca="1">+L133*L145</f>
        <v>79.481644401830408</v>
      </c>
      <c r="M116" s="140">
        <f ca="1">+M133*M145</f>
        <v>85.641471842972265</v>
      </c>
      <c r="N116" s="140">
        <f ca="1">+N133*N145</f>
        <v>92.492789590410041</v>
      </c>
      <c r="O116" s="140">
        <f ca="1"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6">SUM(H114:H116)</f>
        <v>175.29699116643044</v>
      </c>
      <c r="I117" s="147">
        <f t="shared" si="26"/>
        <v>186.21789694050051</v>
      </c>
      <c r="J117" s="148">
        <f t="shared" si="26"/>
        <v>198.7466131689653</v>
      </c>
      <c r="K117" s="149">
        <f t="shared" ca="1" si="26"/>
        <v>212.61248216593572</v>
      </c>
      <c r="L117" s="147">
        <f t="shared" ca="1" si="26"/>
        <v>227.97441333626784</v>
      </c>
      <c r="M117" s="147">
        <f t="shared" ca="1" si="26"/>
        <v>245.01316499082679</v>
      </c>
      <c r="N117" s="147">
        <f t="shared" ca="1" si="26"/>
        <v>263.93461158077093</v>
      </c>
      <c r="O117" s="147">
        <f t="shared" ca="1" si="2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 ca="1">+K133*K146</f>
        <v>14.787282679410305</v>
      </c>
      <c r="L119" s="137">
        <f ca="1">+L133*L146</f>
        <v>15.896328880366079</v>
      </c>
      <c r="M119" s="137">
        <f ca="1">+M133*M146</f>
        <v>17.128294368594453</v>
      </c>
      <c r="N119" s="137">
        <f ca="1">+N133*N146</f>
        <v>18.49855791808201</v>
      </c>
      <c r="O119" s="137">
        <f ca="1"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7">SUM(H121:H122)</f>
        <v>50</v>
      </c>
      <c r="I123" s="154">
        <f t="shared" si="27"/>
        <v>50</v>
      </c>
      <c r="J123" s="123">
        <f t="shared" si="27"/>
        <v>50</v>
      </c>
      <c r="K123" s="154">
        <f t="shared" ca="1" si="27"/>
        <v>50</v>
      </c>
      <c r="L123" s="154">
        <f t="shared" ca="1" si="27"/>
        <v>50</v>
      </c>
      <c r="M123" s="154">
        <f t="shared" ca="1" si="27"/>
        <v>50</v>
      </c>
      <c r="N123" s="154">
        <f t="shared" ca="1" si="27"/>
        <v>50</v>
      </c>
      <c r="O123" s="154">
        <f t="shared" ca="1" si="2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 ca="1">+K270</f>
        <v>166.95493687866619</v>
      </c>
      <c r="L125" s="136">
        <f ca="1">+L270</f>
        <v>178.90020861716587</v>
      </c>
      <c r="M125" s="136">
        <f ca="1">+M270</f>
        <v>191.77123891539929</v>
      </c>
      <c r="N125" s="136">
        <f ca="1">+N270</f>
        <v>205.67195163749136</v>
      </c>
      <c r="O125" s="136">
        <f ca="1"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28">+L288</f>
        <v>1076.0107348715044</v>
      </c>
      <c r="M127" s="136">
        <f t="shared" ca="1" si="28"/>
        <v>1296.9520286760721</v>
      </c>
      <c r="N127" s="136">
        <f t="shared" ca="1" si="28"/>
        <v>1541.1768906483151</v>
      </c>
      <c r="O127" s="136">
        <f t="shared" ca="1" si="28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9">+SUM(H117,H119,H123,H125:H127)</f>
        <v>737.15420182016749</v>
      </c>
      <c r="I128" s="155">
        <f t="shared" si="29"/>
        <v>903.73053547447182</v>
      </c>
      <c r="J128" s="156">
        <f t="shared" si="29"/>
        <v>1087.5713585035739</v>
      </c>
      <c r="K128" s="155">
        <f t="shared" ca="1" si="29"/>
        <v>1290.1857119358119</v>
      </c>
      <c r="L128" s="155">
        <f t="shared" ca="1" si="29"/>
        <v>1513.7816857053042</v>
      </c>
      <c r="M128" s="155">
        <f t="shared" ca="1" si="29"/>
        <v>1760.8647269508926</v>
      </c>
      <c r="N128" s="155">
        <f t="shared" ca="1" si="29"/>
        <v>2034.2820117846593</v>
      </c>
      <c r="O128" s="155">
        <f t="shared" ca="1" si="29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hidden="1" customHeight="1" outlineLevel="1" x14ac:dyDescent="0.2">
      <c r="B130" s="1" t="s">
        <v>65</v>
      </c>
      <c r="H130" s="137">
        <f t="shared" ref="H130:O130" si="30">+IF(ABS(H112-H128)&gt;0.001,H112-H128,0)</f>
        <v>0</v>
      </c>
      <c r="I130" s="137">
        <f t="shared" si="30"/>
        <v>0</v>
      </c>
      <c r="J130" s="157">
        <f t="shared" si="30"/>
        <v>0</v>
      </c>
      <c r="K130" s="136">
        <f t="shared" ca="1" si="30"/>
        <v>0</v>
      </c>
      <c r="L130" s="137">
        <f t="shared" ca="1" si="30"/>
        <v>0</v>
      </c>
      <c r="M130" s="137">
        <f t="shared" ca="1" si="30"/>
        <v>0</v>
      </c>
      <c r="N130" s="137">
        <f t="shared" ca="1" si="30"/>
        <v>0</v>
      </c>
      <c r="O130" s="137">
        <f t="shared" ca="1" si="30"/>
        <v>0</v>
      </c>
    </row>
    <row r="131" spans="2:15" ht="12.95" hidden="1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hidden="1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hidden="1" customHeight="1" outlineLevel="1" x14ac:dyDescent="0.2">
      <c r="B133" s="1" t="str">
        <f>+B64</f>
        <v>Revenue</v>
      </c>
      <c r="H133" s="137">
        <f t="shared" ref="H133:O133" si="31">+H64</f>
        <v>1209.9228781500001</v>
      </c>
      <c r="I133" s="137">
        <f t="shared" si="31"/>
        <v>1288.5678652297499</v>
      </c>
      <c r="J133" s="157">
        <f t="shared" si="31"/>
        <v>1378.7676157958326</v>
      </c>
      <c r="K133" s="136">
        <f t="shared" ca="1" si="31"/>
        <v>1478.7282679410305</v>
      </c>
      <c r="L133" s="137">
        <f t="shared" ca="1" si="31"/>
        <v>1589.6328880366079</v>
      </c>
      <c r="M133" s="137">
        <f t="shared" ca="1" si="31"/>
        <v>1712.8294368594452</v>
      </c>
      <c r="N133" s="137">
        <f t="shared" ca="1" si="31"/>
        <v>1849.8557918082008</v>
      </c>
      <c r="O133" s="137">
        <f t="shared" ca="1" si="31"/>
        <v>2002.4688946323774</v>
      </c>
    </row>
    <row r="134" spans="2:15" ht="12.95" hidden="1" customHeight="1" outlineLevel="1" x14ac:dyDescent="0.2">
      <c r="B134" s="1" t="str">
        <f>+B65</f>
        <v>Cost of Goods Sold (Cost of Sales)</v>
      </c>
      <c r="H134" s="137">
        <f t="shared" ref="H134:O134" si="32">-H65</f>
        <v>679.97665752030014</v>
      </c>
      <c r="I134" s="137">
        <f t="shared" si="32"/>
        <v>721.59800452866</v>
      </c>
      <c r="J134" s="157">
        <f t="shared" si="32"/>
        <v>769.35232961407462</v>
      </c>
      <c r="K134" s="136">
        <f t="shared" ca="1" si="32"/>
        <v>822.17291697521307</v>
      </c>
      <c r="L134" s="137">
        <f t="shared" ca="1" si="32"/>
        <v>880.65661997228085</v>
      </c>
      <c r="M134" s="137">
        <f t="shared" ca="1" si="32"/>
        <v>945.48184914641388</v>
      </c>
      <c r="N134" s="137">
        <f t="shared" ca="1" si="32"/>
        <v>1017.4206854945105</v>
      </c>
      <c r="O134" s="137">
        <f t="shared" ca="1" si="32"/>
        <v>1097.3529542585429</v>
      </c>
    </row>
    <row r="135" spans="2:15" ht="12.95" hidden="1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33">-H67</f>
        <v>335.75359868662508</v>
      </c>
      <c r="I135" s="140">
        <f t="shared" si="33"/>
        <v>355.64473080341099</v>
      </c>
      <c r="J135" s="122">
        <f t="shared" si="33"/>
        <v>378.47171053595611</v>
      </c>
      <c r="K135" s="140">
        <f t="shared" ca="1" si="33"/>
        <v>403.69281714790134</v>
      </c>
      <c r="L135" s="140">
        <f t="shared" ca="1" si="33"/>
        <v>431.58532910193907</v>
      </c>
      <c r="M135" s="140">
        <f t="shared" ca="1" si="33"/>
        <v>462.46394795205021</v>
      </c>
      <c r="N135" s="140">
        <f t="shared" ca="1" si="33"/>
        <v>496.68628010050196</v>
      </c>
      <c r="O135" s="140">
        <f t="shared" ca="1" si="33"/>
        <v>534.65919486684481</v>
      </c>
    </row>
    <row r="136" spans="2:15" ht="12.95" hidden="1" customHeight="1" outlineLevel="1" x14ac:dyDescent="0.2">
      <c r="J136" s="161"/>
      <c r="K136" s="93"/>
    </row>
    <row r="137" spans="2:15" s="21" customFormat="1" ht="12.95" customHeight="1" collapsed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34">+(H107-H103)-H117</f>
        <v>91.6020511818584</v>
      </c>
      <c r="I148" s="17">
        <f t="shared" si="34"/>
        <v>97.514156014335072</v>
      </c>
      <c r="J148" s="40">
        <f t="shared" si="34"/>
        <v>104.29517644639051</v>
      </c>
      <c r="K148" s="115">
        <f t="shared" ca="1" si="34"/>
        <v>111.80834588935704</v>
      </c>
      <c r="L148" s="17">
        <f t="shared" ca="1" si="34"/>
        <v>120.14212366795709</v>
      </c>
      <c r="M148" s="17">
        <f t="shared" ca="1" si="34"/>
        <v>129.39727185648201</v>
      </c>
      <c r="N148" s="17">
        <f t="shared" ca="1" si="34"/>
        <v>139.68871789759919</v>
      </c>
      <c r="O148" s="17">
        <f t="shared" ca="1" si="34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35">+H148/H133</f>
        <v>7.570900000000004E-2</v>
      </c>
      <c r="I149" s="76">
        <f t="shared" si="35"/>
        <v>7.5676383561643787E-2</v>
      </c>
      <c r="J149" s="167">
        <f t="shared" si="35"/>
        <v>7.5643767123287659E-2</v>
      </c>
      <c r="K149" s="76">
        <f t="shared" ca="1" si="35"/>
        <v>7.5611150684931516E-2</v>
      </c>
      <c r="L149" s="76">
        <f t="shared" ca="1" si="35"/>
        <v>7.5578534246575249E-2</v>
      </c>
      <c r="M149" s="76">
        <f t="shared" ca="1" si="35"/>
        <v>7.554591780821919E-2</v>
      </c>
      <c r="N149" s="76">
        <f t="shared" ca="1" si="35"/>
        <v>7.5513301369862992E-2</v>
      </c>
      <c r="O149" s="76">
        <f t="shared" ca="1" si="35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 ca="1">-K257</f>
        <v>19.962831617203911</v>
      </c>
      <c r="L156" s="137">
        <f ca="1">-L257</f>
        <v>22.254860432512512</v>
      </c>
      <c r="M156" s="137">
        <f ca="1">-M257</f>
        <v>24.836026834461958</v>
      </c>
      <c r="N156" s="137">
        <f ca="1">-N257</f>
        <v>27.747836877123014</v>
      </c>
      <c r="O156" s="137">
        <f ca="1"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 ca="1">+K269</f>
        <v>11.111880686976447</v>
      </c>
      <c r="L157" s="137">
        <f ca="1">+L269</f>
        <v>11.945271738499681</v>
      </c>
      <c r="M157" s="137">
        <f ca="1">+M269</f>
        <v>12.871030298233407</v>
      </c>
      <c r="N157" s="137">
        <f ca="1">+N269</f>
        <v>13.900712722092081</v>
      </c>
      <c r="O157" s="137">
        <f ca="1"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ca="1" si="36">+(J104-K104)</f>
        <v>-8.2159440119340701</v>
      </c>
      <c r="L160" s="137">
        <f t="shared" ca="1" si="36"/>
        <v>-9.1154482270337525</v>
      </c>
      <c r="M160" s="137">
        <f t="shared" ca="1" si="36"/>
        <v>-10.125743738863349</v>
      </c>
      <c r="N160" s="137">
        <f t="shared" ca="1" si="36"/>
        <v>-11.262440132774429</v>
      </c>
      <c r="O160" s="137">
        <f t="shared" ca="1" si="3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ca="1" si="36"/>
        <v>-10.564117472227679</v>
      </c>
      <c r="L161" s="137">
        <f t="shared" ca="1" si="36"/>
        <v>-11.696740599413573</v>
      </c>
      <c r="M161" s="137">
        <f t="shared" ca="1" si="36"/>
        <v>-12.965045834826583</v>
      </c>
      <c r="N161" s="137">
        <f t="shared" ca="1" si="36"/>
        <v>-14.387767269619332</v>
      </c>
      <c r="O161" s="137">
        <f t="shared" ca="1" si="3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ca="1" si="36"/>
        <v>-2.598976955775143</v>
      </c>
      <c r="L162" s="137">
        <f t="shared" ca="1" si="36"/>
        <v>-2.8835201224850167</v>
      </c>
      <c r="M162" s="137">
        <f t="shared" ca="1" si="36"/>
        <v>-3.2031102693937683</v>
      </c>
      <c r="N162" s="137">
        <f t="shared" ca="1" si="36"/>
        <v>-3.5626852286676467</v>
      </c>
      <c r="O162" s="137">
        <f t="shared" ca="1" si="3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 ca="1">+(J111-K111)</f>
        <v>-3.9984260858079139</v>
      </c>
      <c r="L163" s="137">
        <f ca="1">+(K111-L111)</f>
        <v>-4.436184803823096</v>
      </c>
      <c r="M163" s="137">
        <f ca="1">+(L111-M111)</f>
        <v>-4.9278619529134957</v>
      </c>
      <c r="N163" s="137">
        <f ca="1">+(M111-N111)</f>
        <v>-5.481054197950229</v>
      </c>
      <c r="O163" s="137">
        <f ca="1"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ca="1" si="37">+K114-J114</f>
        <v>4.3414181392716529</v>
      </c>
      <c r="L164" s="137">
        <f t="shared" ca="1" si="37"/>
        <v>4.8068796983891389</v>
      </c>
      <c r="M164" s="137">
        <f t="shared" ca="1" si="37"/>
        <v>5.3281010280109342</v>
      </c>
      <c r="N164" s="137">
        <f t="shared" ca="1" si="37"/>
        <v>5.9127810697065684</v>
      </c>
      <c r="O164" s="137">
        <f t="shared" ca="1" si="3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ca="1" si="37"/>
        <v>4.5264182504388515</v>
      </c>
      <c r="L165" s="137">
        <f t="shared" ca="1" si="37"/>
        <v>5.0098204671641327</v>
      </c>
      <c r="M165" s="137">
        <f t="shared" ca="1" si="37"/>
        <v>5.5508231854061449</v>
      </c>
      <c r="N165" s="137">
        <f t="shared" ca="1" si="37"/>
        <v>6.1573477727998238</v>
      </c>
      <c r="O165" s="137">
        <f t="shared" ca="1" si="3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ca="1" si="37"/>
        <v>4.9980326072598871</v>
      </c>
      <c r="L166" s="137">
        <f t="shared" ca="1" si="37"/>
        <v>5.5452310047788842</v>
      </c>
      <c r="M166" s="137">
        <f t="shared" ca="1" si="37"/>
        <v>6.1598274411418572</v>
      </c>
      <c r="N166" s="137">
        <f t="shared" ca="1" si="37"/>
        <v>6.8513177474377756</v>
      </c>
      <c r="O166" s="137">
        <f t="shared" ca="1" si="3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 ca="1">+K119-J119</f>
        <v>0.99960652145197848</v>
      </c>
      <c r="L167" s="140">
        <f ca="1">+L119-K119</f>
        <v>1.109046200955774</v>
      </c>
      <c r="M167" s="140">
        <f ca="1">+M119-L119</f>
        <v>1.2319654882283739</v>
      </c>
      <c r="N167" s="140">
        <f ca="1">+N119-M119</f>
        <v>1.3702635494875572</v>
      </c>
      <c r="O167" s="140">
        <f ca="1"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 ca="1">+SUM(K160:K167)</f>
        <v>-10.511989007322436</v>
      </c>
      <c r="L168" s="147">
        <f ca="1">+SUM(L160:L167)</f>
        <v>-11.660916381467509</v>
      </c>
      <c r="M168" s="147">
        <f ca="1">+SUM(M160:M167)</f>
        <v>-12.951044653209886</v>
      </c>
      <c r="N168" s="147">
        <f ca="1">+SUM(N160:N167)</f>
        <v>-14.402236689579912</v>
      </c>
      <c r="O168" s="147">
        <f ca="1"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 ca="1">-K256</f>
        <v>-21.441559885144944</v>
      </c>
      <c r="L173" s="160">
        <f ca="1">-L256</f>
        <v>-23.84449332054912</v>
      </c>
      <c r="M173" s="160">
        <f ca="1">-M256</f>
        <v>-26.548856271321402</v>
      </c>
      <c r="N173" s="160">
        <f ca="1">-N256</f>
        <v>-29.597692668931213</v>
      </c>
      <c r="O173" s="160">
        <f ca="1"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 ca="1">SUM(K173)</f>
        <v>-21.441559885144944</v>
      </c>
      <c r="L174" s="155">
        <f ca="1">SUM(L173)</f>
        <v>-23.84449332054912</v>
      </c>
      <c r="M174" s="155">
        <f ca="1">SUM(M173)</f>
        <v>-26.548856271321402</v>
      </c>
      <c r="N174" s="155">
        <f ca="1">SUM(N173)</f>
        <v>-29.597692668931213</v>
      </c>
      <c r="O174" s="155">
        <f ca="1"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38">+L192</f>
        <v>0</v>
      </c>
      <c r="M177" s="160">
        <f t="shared" si="38"/>
        <v>0</v>
      </c>
      <c r="N177" s="160">
        <f t="shared" si="38"/>
        <v>0</v>
      </c>
      <c r="O177" s="160">
        <f t="shared" si="38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39">+L210</f>
        <v>0</v>
      </c>
      <c r="M178" s="136">
        <f t="shared" ca="1" si="39"/>
        <v>0</v>
      </c>
      <c r="N178" s="136">
        <f t="shared" ca="1" si="39"/>
        <v>0</v>
      </c>
      <c r="O178" s="136">
        <f t="shared" ca="1" si="39"/>
        <v>0</v>
      </c>
    </row>
    <row r="179" spans="1:20" s="93" customFormat="1" ht="12.95" customHeight="1" x14ac:dyDescent="0.2">
      <c r="B179" s="93" t="s">
        <v>112</v>
      </c>
      <c r="K179" s="136">
        <f t="shared" ref="K179:O181" si="40">+K198</f>
        <v>0</v>
      </c>
      <c r="L179" s="136">
        <f t="shared" si="40"/>
        <v>0</v>
      </c>
      <c r="M179" s="136">
        <f t="shared" si="40"/>
        <v>0</v>
      </c>
      <c r="N179" s="136">
        <f t="shared" si="40"/>
        <v>0</v>
      </c>
      <c r="O179" s="136">
        <f t="shared" si="40"/>
        <v>0</v>
      </c>
    </row>
    <row r="180" spans="1:20" s="93" customFormat="1" ht="12.95" customHeight="1" x14ac:dyDescent="0.2">
      <c r="B180" s="93" t="s">
        <v>113</v>
      </c>
      <c r="K180" s="136">
        <f t="shared" si="40"/>
        <v>-5</v>
      </c>
      <c r="L180" s="136">
        <f t="shared" si="40"/>
        <v>-5</v>
      </c>
      <c r="M180" s="136">
        <f t="shared" si="40"/>
        <v>-5</v>
      </c>
      <c r="N180" s="136">
        <f t="shared" si="40"/>
        <v>-5</v>
      </c>
      <c r="O180" s="136">
        <f t="shared" si="4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40"/>
        <v>-9.5598419593073203</v>
      </c>
      <c r="L181" s="136">
        <f t="shared" ca="1" si="40"/>
        <v>-10.535774982089725</v>
      </c>
      <c r="M181" s="136">
        <f t="shared" ca="1" si="40"/>
        <v>-11.628489147608832</v>
      </c>
      <c r="N181" s="136">
        <f t="shared" ca="1" si="40"/>
        <v>-12.853940103802252</v>
      </c>
      <c r="O181" s="136">
        <f t="shared" ca="1" si="40"/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326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325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hidden="1" customHeight="1" outlineLevel="1" x14ac:dyDescent="0.2"/>
    <row r="225" spans="1:15" ht="12.95" hidden="1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6" spans="1:15" ht="12.95" customHeight="1" collapsed="1" x14ac:dyDescent="0.2"/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hidden="1" customHeight="1" outlineLevel="1" x14ac:dyDescent="0.2"/>
    <row r="248" spans="1:15" ht="12.95" hidden="1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hidden="1" customHeight="1" outlineLevel="1" x14ac:dyDescent="0.2">
      <c r="B249" s="1" t="str">
        <f>+B133</f>
        <v>Revenue</v>
      </c>
      <c r="H249" s="137">
        <f t="shared" ref="H249:O251" si="41">+H133</f>
        <v>1209.9228781500001</v>
      </c>
      <c r="I249" s="137">
        <f t="shared" si="41"/>
        <v>1288.5678652297499</v>
      </c>
      <c r="J249" s="136">
        <f t="shared" si="41"/>
        <v>1378.7676157958326</v>
      </c>
      <c r="K249" s="136">
        <f t="shared" ca="1" si="41"/>
        <v>1478.7282679410305</v>
      </c>
      <c r="L249" s="137">
        <f t="shared" ca="1" si="41"/>
        <v>1589.6328880366079</v>
      </c>
      <c r="M249" s="137">
        <f t="shared" ca="1" si="41"/>
        <v>1712.8294368594452</v>
      </c>
      <c r="N249" s="137">
        <f t="shared" ca="1" si="41"/>
        <v>1849.8557918082008</v>
      </c>
      <c r="O249" s="137">
        <f t="shared" ca="1" si="41"/>
        <v>2002.4688946323774</v>
      </c>
    </row>
    <row r="250" spans="1:15" ht="12.95" hidden="1" customHeight="1" outlineLevel="1" x14ac:dyDescent="0.2">
      <c r="B250" s="1" t="str">
        <f>+B134</f>
        <v>Cost of Goods Sold (Cost of Sales)</v>
      </c>
      <c r="H250" s="137">
        <f t="shared" si="41"/>
        <v>679.97665752030014</v>
      </c>
      <c r="I250" s="137">
        <f t="shared" si="41"/>
        <v>721.59800452866</v>
      </c>
      <c r="J250" s="136">
        <f t="shared" si="41"/>
        <v>769.35232961407462</v>
      </c>
      <c r="K250" s="136">
        <f t="shared" ca="1" si="41"/>
        <v>822.17291697521307</v>
      </c>
      <c r="L250" s="137">
        <f t="shared" ca="1" si="41"/>
        <v>880.65661997228085</v>
      </c>
      <c r="M250" s="137">
        <f t="shared" ca="1" si="41"/>
        <v>945.48184914641388</v>
      </c>
      <c r="N250" s="137">
        <f t="shared" ca="1" si="41"/>
        <v>1017.4206854945105</v>
      </c>
      <c r="O250" s="137">
        <f t="shared" ca="1" si="41"/>
        <v>1097.3529542585429</v>
      </c>
    </row>
    <row r="251" spans="1:15" ht="12.95" hidden="1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41"/>
        <v>335.75359868662508</v>
      </c>
      <c r="I251" s="140">
        <f t="shared" si="41"/>
        <v>355.64473080341099</v>
      </c>
      <c r="J251" s="140">
        <f t="shared" si="41"/>
        <v>378.47171053595611</v>
      </c>
      <c r="K251" s="140">
        <f t="shared" ca="1" si="41"/>
        <v>403.69281714790134</v>
      </c>
      <c r="L251" s="140">
        <f t="shared" ca="1" si="41"/>
        <v>431.58532910193907</v>
      </c>
      <c r="M251" s="140">
        <f t="shared" ca="1" si="41"/>
        <v>462.46394795205021</v>
      </c>
      <c r="N251" s="140">
        <f t="shared" ca="1" si="41"/>
        <v>496.68628010050196</v>
      </c>
      <c r="O251" s="140">
        <f t="shared" ca="1" si="41"/>
        <v>534.65919486684481</v>
      </c>
    </row>
    <row r="252" spans="1:15" ht="12.95" customHeight="1" collapsed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 ca="1">+K258</f>
        <v>7.5793538046166198</v>
      </c>
      <c r="M255" s="178">
        <f ca="1">+L258</f>
        <v>9.1689866926532275</v>
      </c>
      <c r="N255" s="178">
        <f ca="1">+M258</f>
        <v>10.881816129512675</v>
      </c>
      <c r="O255" s="178">
        <f ca="1"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 ca="1">+K259*K$249</f>
        <v>21.441559885144944</v>
      </c>
      <c r="L256" s="179">
        <f ca="1">+L259*L$249</f>
        <v>23.84449332054912</v>
      </c>
      <c r="M256" s="179">
        <f ca="1">+M259*M$249</f>
        <v>26.548856271321402</v>
      </c>
      <c r="N256" s="179">
        <f ca="1">+N259*N$249</f>
        <v>29.597692668931213</v>
      </c>
      <c r="O256" s="179">
        <f ca="1"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 ca="1">+K260*-K$249</f>
        <v>-19.962831617203911</v>
      </c>
      <c r="L257" s="180">
        <f ca="1">+L260*-L$249</f>
        <v>-22.254860432512512</v>
      </c>
      <c r="M257" s="180">
        <f ca="1">+M260*-M$249</f>
        <v>-24.836026834461958</v>
      </c>
      <c r="N257" s="180">
        <f ca="1">+N260*-N$249</f>
        <v>-27.747836877123014</v>
      </c>
      <c r="O257" s="180">
        <f ca="1"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 ca="1">SUM(K255:K257)</f>
        <v>7.5793538046166198</v>
      </c>
      <c r="L258" s="181">
        <f ca="1">SUM(L255:L257)</f>
        <v>9.1689866926532275</v>
      </c>
      <c r="M258" s="181">
        <f ca="1">SUM(M255:M257)</f>
        <v>10.881816129512675</v>
      </c>
      <c r="N258" s="181">
        <f ca="1">SUM(N255:N257)</f>
        <v>12.731671921320874</v>
      </c>
      <c r="O258" s="181">
        <f ca="1"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 ca="1">+K270</f>
        <v>166.95493687866619</v>
      </c>
      <c r="M267" s="178">
        <f ca="1">+L270</f>
        <v>178.90020861716587</v>
      </c>
      <c r="N267" s="178">
        <f ca="1">+M270</f>
        <v>191.77123891539929</v>
      </c>
      <c r="O267" s="178">
        <f ca="1"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 ca="1">+K271*K249</f>
        <v>11.111880686976447</v>
      </c>
      <c r="L269" s="212">
        <f ca="1">+L271*L249</f>
        <v>11.945271738499681</v>
      </c>
      <c r="M269" s="212">
        <f ca="1">+M271*M249</f>
        <v>12.871030298233407</v>
      </c>
      <c r="N269" s="212">
        <f ca="1">+N271*N249</f>
        <v>13.900712722092081</v>
      </c>
      <c r="O269" s="212">
        <f ca="1"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 ca="1">SUM(K267:K269)</f>
        <v>166.95493687866619</v>
      </c>
      <c r="L270" s="181">
        <f ca="1">SUM(L267:L269)</f>
        <v>178.90020861716587</v>
      </c>
      <c r="M270" s="181">
        <f ca="1">SUM(M267:M269)</f>
        <v>191.77123891539929</v>
      </c>
      <c r="N270" s="181">
        <f ca="1">SUM(N267:N269)</f>
        <v>205.67195163749136</v>
      </c>
      <c r="O270" s="181">
        <f ca="1"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42">+H73</f>
        <v>144.38336269074406</v>
      </c>
      <c r="I286" s="135">
        <f t="shared" si="42"/>
        <v>158.09058392211767</v>
      </c>
      <c r="J286" s="229">
        <f t="shared" si="42"/>
        <v>173.73619092811771</v>
      </c>
      <c r="K286" s="179">
        <f t="shared" ca="1" si="42"/>
        <v>191.19683918614641</v>
      </c>
      <c r="L286" s="179">
        <f t="shared" ca="1" si="42"/>
        <v>210.71549964179448</v>
      </c>
      <c r="M286" s="179">
        <f t="shared" ca="1" si="42"/>
        <v>232.56978295217664</v>
      </c>
      <c r="N286" s="179">
        <f t="shared" ca="1" si="42"/>
        <v>257.07880207604501</v>
      </c>
      <c r="O286" s="179">
        <f t="shared" ca="1" si="42"/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>
        <f t="shared" ref="H295:O295" si="43">+H73</f>
        <v>144.38336269074406</v>
      </c>
      <c r="I295" s="17">
        <f t="shared" si="43"/>
        <v>158.09058392211767</v>
      </c>
      <c r="J295" s="213">
        <f t="shared" si="43"/>
        <v>173.73619092811771</v>
      </c>
      <c r="K295" s="17">
        <f t="shared" ca="1" si="43"/>
        <v>191.19683918614641</v>
      </c>
      <c r="L295" s="17">
        <f t="shared" ca="1" si="43"/>
        <v>210.71549964179448</v>
      </c>
      <c r="M295" s="17">
        <f t="shared" ca="1" si="43"/>
        <v>232.56978295217664</v>
      </c>
      <c r="N295" s="17">
        <f t="shared" ca="1" si="43"/>
        <v>257.07880207604501</v>
      </c>
      <c r="O295" s="17">
        <f t="shared" ca="1" si="43"/>
        <v>284.60992644787052</v>
      </c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>
        <f>+H75</f>
        <v>100.91013022450269</v>
      </c>
      <c r="I298" s="135">
        <f>+I75</f>
        <v>101.22532805211092</v>
      </c>
      <c r="J298" s="236">
        <f>+J75</f>
        <v>101.5551580431645</v>
      </c>
      <c r="K298" s="23">
        <f ca="1">+K317</f>
        <v>101.89686926219814</v>
      </c>
      <c r="L298" s="23">
        <f ca="1">+L317</f>
        <v>102.25037131335471</v>
      </c>
      <c r="M298" s="23">
        <f ca="1">+M317</f>
        <v>102.61458004154703</v>
      </c>
      <c r="N298" s="23">
        <f ca="1">+N317</f>
        <v>102.9884647971969</v>
      </c>
      <c r="O298" s="23">
        <f ca="1">+O317</f>
        <v>103.37104759455143</v>
      </c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>
        <f>+H300-H298</f>
        <v>5</v>
      </c>
      <c r="I299" s="136">
        <f>+I300-I298</f>
        <v>5</v>
      </c>
      <c r="J299" s="237">
        <f>+J300-J298</f>
        <v>5</v>
      </c>
      <c r="K299" s="111">
        <f>+J299</f>
        <v>5</v>
      </c>
      <c r="L299" s="111">
        <f>+K299</f>
        <v>5</v>
      </c>
      <c r="M299" s="111">
        <f>+L299</f>
        <v>5</v>
      </c>
      <c r="N299" s="111">
        <f>+M299</f>
        <v>5</v>
      </c>
      <c r="O299" s="111">
        <f>+N299</f>
        <v>5</v>
      </c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>
        <f>+H78</f>
        <v>105.91013022450269</v>
      </c>
      <c r="I300" s="238">
        <f>+I78</f>
        <v>106.22532805211092</v>
      </c>
      <c r="J300" s="239">
        <f>+J78</f>
        <v>106.5551580431645</v>
      </c>
      <c r="K300" s="187">
        <f ca="1">SUM(K298:K299)</f>
        <v>106.89686926219814</v>
      </c>
      <c r="L300" s="187">
        <f ca="1">SUM(L298:L299)</f>
        <v>107.25037131335471</v>
      </c>
      <c r="M300" s="187">
        <f ca="1">SUM(M298:M299)</f>
        <v>107.61458004154703</v>
      </c>
      <c r="N300" s="187">
        <f ca="1">SUM(N298:N299)</f>
        <v>107.9884647971969</v>
      </c>
      <c r="O300" s="187">
        <f ca="1">SUM(O298:O299)</f>
        <v>108.37104759455143</v>
      </c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>
        <f ca="1">+K269+K268</f>
        <v>11.111880686976447</v>
      </c>
      <c r="L302" s="111">
        <f ca="1">+L269+L268</f>
        <v>11.945271738499681</v>
      </c>
      <c r="M302" s="111">
        <f ca="1">+M269+M268</f>
        <v>12.871030298233407</v>
      </c>
      <c r="N302" s="111">
        <f ca="1">+N269+N268</f>
        <v>13.900712722092081</v>
      </c>
      <c r="O302" s="111">
        <f ca="1">+O269+O268</f>
        <v>15.047521521664677</v>
      </c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>
        <f>+K278</f>
        <v>-5</v>
      </c>
      <c r="L303" s="111">
        <f>+L278</f>
        <v>-5</v>
      </c>
      <c r="M303" s="111">
        <f>+M278</f>
        <v>-5</v>
      </c>
      <c r="N303" s="111">
        <f>+N278</f>
        <v>-5</v>
      </c>
      <c r="O303" s="111">
        <f>+O278</f>
        <v>-5</v>
      </c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>
        <f ca="1">SUM(K302:K303)</f>
        <v>6.1118806869764466</v>
      </c>
      <c r="L304" s="184">
        <f ca="1">SUM(L302:L303)</f>
        <v>6.9452717384996809</v>
      </c>
      <c r="M304" s="184">
        <f ca="1">SUM(M302:M303)</f>
        <v>7.8710302982334071</v>
      </c>
      <c r="N304" s="184">
        <f ca="1">SUM(N302:N303)</f>
        <v>8.9007127220920808</v>
      </c>
      <c r="O304" s="184">
        <f ca="1">SUM(O302:O303)</f>
        <v>10.047521521664677</v>
      </c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11">
        <f t="shared" ref="K306:O307" ca="1" si="44">+K302/K$312</f>
        <v>0.62125792203275587</v>
      </c>
      <c r="L306" s="111">
        <f t="shared" ca="1" si="44"/>
        <v>0.60799321036996257</v>
      </c>
      <c r="M306" s="111">
        <f t="shared" ca="1" si="44"/>
        <v>0.59556899132970686</v>
      </c>
      <c r="N306" s="111">
        <f t="shared" ca="1" si="44"/>
        <v>0.58391555167920139</v>
      </c>
      <c r="O306" s="111">
        <f t="shared" ca="1" si="44"/>
        <v>0.57296944968943608</v>
      </c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11">
        <f t="shared" si="44"/>
        <v>-0.27954670299911255</v>
      </c>
      <c r="L307" s="111">
        <f t="shared" si="44"/>
        <v>-0.25449115921339688</v>
      </c>
      <c r="M307" s="111">
        <f t="shared" si="44"/>
        <v>-0.23136026313738486</v>
      </c>
      <c r="N307" s="111">
        <f t="shared" si="44"/>
        <v>-0.210030796029328</v>
      </c>
      <c r="O307" s="111">
        <f t="shared" si="44"/>
        <v>-0.19038665233490545</v>
      </c>
      <c r="Q307"/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187">
        <f ca="1">SUM(K306:K307)</f>
        <v>0.34171121903364332</v>
      </c>
      <c r="L308" s="187">
        <f ca="1">SUM(L306:L307)</f>
        <v>0.35350205115656569</v>
      </c>
      <c r="M308" s="187">
        <f ca="1">SUM(M306:M307)</f>
        <v>0.36420872819232197</v>
      </c>
      <c r="N308" s="187">
        <f ca="1">SUM(N306:N307)</f>
        <v>0.37388475564987339</v>
      </c>
      <c r="O308" s="187">
        <f ca="1">SUM(O306:O307)</f>
        <v>0.3825827973545306</v>
      </c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1.7886098982236514</v>
      </c>
      <c r="L310" s="252">
        <v>1.9647047918892071</v>
      </c>
      <c r="M310" s="252">
        <v>2.1611317052448769</v>
      </c>
      <c r="N310" s="252">
        <v>2.3806032708183502</v>
      </c>
      <c r="O310" s="252">
        <v>2.6262345278305528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185">
        <f>+K311</f>
        <v>10</v>
      </c>
      <c r="M311" s="185">
        <f>+L311</f>
        <v>10</v>
      </c>
      <c r="N311" s="185">
        <f>+M311</f>
        <v>10</v>
      </c>
      <c r="O311" s="185">
        <f>+N311</f>
        <v>10</v>
      </c>
      <c r="Q311"/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186">
        <f>+K310*K311</f>
        <v>17.886098982236515</v>
      </c>
      <c r="L312" s="186">
        <f>+L310*L311</f>
        <v>19.647047918892071</v>
      </c>
      <c r="M312" s="186">
        <f>+M310*M311</f>
        <v>21.611317052448769</v>
      </c>
      <c r="N312" s="186">
        <f>+N310*N311</f>
        <v>23.806032708183501</v>
      </c>
      <c r="O312" s="186">
        <f>+O310*O311</f>
        <v>26.262345278305528</v>
      </c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>
        <f>+J298</f>
        <v>101.5551580431645</v>
      </c>
      <c r="L315" s="111">
        <f ca="1">+K317</f>
        <v>101.89686926219814</v>
      </c>
      <c r="M315" s="111">
        <f ca="1">+L317</f>
        <v>102.25037131335471</v>
      </c>
      <c r="N315" s="111">
        <f ca="1">+M317</f>
        <v>102.61458004154703</v>
      </c>
      <c r="O315" s="111">
        <f ca="1">+N317</f>
        <v>102.9884647971969</v>
      </c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>
        <f ca="1">+K308</f>
        <v>0.34171121903364332</v>
      </c>
      <c r="L316" s="77">
        <f ca="1">+L308</f>
        <v>0.35350205115656569</v>
      </c>
      <c r="M316" s="77">
        <f ca="1">+M308</f>
        <v>0.36420872819232197</v>
      </c>
      <c r="N316" s="77">
        <f ca="1">+N308</f>
        <v>0.37388475564987339</v>
      </c>
      <c r="O316" s="77">
        <f ca="1">+O308</f>
        <v>0.3825827973545306</v>
      </c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>
        <f ca="1">SUM(K315:K316)</f>
        <v>101.89686926219814</v>
      </c>
      <c r="L317" s="189">
        <f ca="1">SUM(L315:L316)</f>
        <v>102.25037131335471</v>
      </c>
      <c r="M317" s="189">
        <f ca="1">SUM(M315:M316)</f>
        <v>102.61458004154703</v>
      </c>
      <c r="N317" s="189">
        <f ca="1">SUM(N315:N316)</f>
        <v>102.9884647971969</v>
      </c>
      <c r="O317" s="189">
        <f ca="1">SUM(O315:O316)</f>
        <v>103.37104759455143</v>
      </c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B319" s="26" t="s">
        <v>311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30"/>
      <c r="Q319"/>
      <c r="R319"/>
      <c r="S319"/>
      <c r="T319"/>
    </row>
    <row r="320" spans="2:23" ht="12.95" customHeight="1" x14ac:dyDescent="0.2">
      <c r="H320" s="23"/>
      <c r="I320" s="23"/>
      <c r="J320" s="23"/>
      <c r="P320" s="93"/>
      <c r="Q320" s="93"/>
      <c r="R320" s="93"/>
    </row>
    <row r="321" spans="2:18" ht="12.95" customHeight="1" x14ac:dyDescent="0.2">
      <c r="B321" s="362" t="s">
        <v>360</v>
      </c>
      <c r="C321" s="363"/>
      <c r="D321" s="363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7"/>
      <c r="Q321" s="367"/>
      <c r="R321" s="93"/>
    </row>
    <row r="322" spans="2:18" ht="12.95" customHeight="1" x14ac:dyDescent="0.2">
      <c r="B322" s="81" t="s">
        <v>332</v>
      </c>
      <c r="C322" s="81"/>
      <c r="D322" s="81"/>
      <c r="E322" s="81"/>
      <c r="F322" s="81"/>
      <c r="G322" s="81"/>
      <c r="H322" s="81"/>
      <c r="I322" s="81"/>
      <c r="J322" s="81"/>
      <c r="K322" s="364">
        <v>8.2500000000000059E-2</v>
      </c>
      <c r="L322" s="364">
        <v>8.5000000000000062E-2</v>
      </c>
      <c r="M322" s="364">
        <v>8.7500000000000064E-2</v>
      </c>
      <c r="N322" s="364">
        <v>9.0000000000000066E-2</v>
      </c>
      <c r="O322" s="364">
        <v>9.2500000000000068E-2</v>
      </c>
      <c r="P322" s="93"/>
      <c r="Q322" s="93"/>
      <c r="R322" s="93"/>
    </row>
    <row r="323" spans="2:18" ht="12.95" customHeight="1" x14ac:dyDescent="0.2">
      <c r="B323" s="81" t="s">
        <v>104</v>
      </c>
      <c r="C323" s="81"/>
      <c r="D323" s="81"/>
      <c r="E323" s="81"/>
      <c r="F323" s="81"/>
      <c r="G323" s="81"/>
      <c r="H323" s="81"/>
      <c r="I323" s="81"/>
      <c r="J323" s="81"/>
      <c r="K323" s="364">
        <v>7.2500000000000064E-2</v>
      </c>
      <c r="L323" s="364">
        <v>7.5000000000000067E-2</v>
      </c>
      <c r="M323" s="364">
        <v>7.7500000000000069E-2</v>
      </c>
      <c r="N323" s="364">
        <v>8.0000000000000071E-2</v>
      </c>
      <c r="O323" s="364">
        <v>8.2500000000000073E-2</v>
      </c>
      <c r="P323" s="93"/>
      <c r="Q323" s="93"/>
      <c r="R323" s="93"/>
    </row>
    <row r="324" spans="2:18" ht="12.95" customHeight="1" x14ac:dyDescent="0.2">
      <c r="B324" s="363" t="s">
        <v>333</v>
      </c>
      <c r="C324" s="363"/>
      <c r="D324" s="363"/>
      <c r="E324" s="363"/>
      <c r="F324" s="363"/>
      <c r="G324" s="363"/>
      <c r="H324" s="363"/>
      <c r="I324" s="363"/>
      <c r="J324" s="363"/>
      <c r="K324" s="365">
        <v>6.2500000000000069E-2</v>
      </c>
      <c r="L324" s="365">
        <v>6.5000000000000072E-2</v>
      </c>
      <c r="M324" s="365">
        <v>6.7500000000000074E-2</v>
      </c>
      <c r="N324" s="365">
        <v>7.0000000000000076E-2</v>
      </c>
      <c r="O324" s="365">
        <v>7.2500000000000078E-2</v>
      </c>
      <c r="P324" s="93"/>
      <c r="Q324" s="93"/>
      <c r="R324" s="93"/>
    </row>
    <row r="325" spans="2:18" ht="12.95" customHeight="1" x14ac:dyDescent="0.2">
      <c r="B325" s="362" t="str">
        <f ca="1">+OFFSET(B321,$D$10,0)</f>
        <v>Mid (Base) Case</v>
      </c>
      <c r="C325" s="363"/>
      <c r="D325" s="363"/>
      <c r="E325" s="363"/>
      <c r="F325" s="363"/>
      <c r="G325" s="363"/>
      <c r="H325" s="363"/>
      <c r="I325" s="363"/>
      <c r="J325" s="363"/>
      <c r="K325" s="368">
        <f ca="1">+OFFSET(K321,$D$10,0)</f>
        <v>7.2500000000000064E-2</v>
      </c>
      <c r="L325" s="368">
        <f t="shared" ref="L325:O325" ca="1" si="45">+OFFSET(L321,$D$10,0)</f>
        <v>7.5000000000000067E-2</v>
      </c>
      <c r="M325" s="368">
        <f t="shared" ca="1" si="45"/>
        <v>7.7500000000000069E-2</v>
      </c>
      <c r="N325" s="368">
        <f t="shared" ca="1" si="45"/>
        <v>8.0000000000000071E-2</v>
      </c>
      <c r="O325" s="368">
        <f t="shared" ca="1" si="45"/>
        <v>8.2500000000000073E-2</v>
      </c>
      <c r="P325" s="93"/>
      <c r="Q325" s="93"/>
      <c r="R325" s="93"/>
    </row>
    <row r="326" spans="2:18" ht="12.95" customHeight="1" x14ac:dyDescent="0.2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8" ht="12.95" customHeight="1" x14ac:dyDescent="0.2">
      <c r="B327" s="362" t="s">
        <v>45</v>
      </c>
      <c r="C327" s="363"/>
      <c r="D327" s="363"/>
      <c r="E327" s="363"/>
      <c r="F327" s="363"/>
      <c r="G327" s="363"/>
      <c r="H327" s="363"/>
      <c r="I327" s="363"/>
      <c r="J327" s="363"/>
      <c r="K327" s="363"/>
      <c r="L327" s="363"/>
      <c r="M327" s="363"/>
      <c r="N327" s="363"/>
      <c r="O327" s="363"/>
    </row>
    <row r="328" spans="2:18" ht="12.95" customHeight="1" x14ac:dyDescent="0.2">
      <c r="B328" s="81" t="s">
        <v>332</v>
      </c>
      <c r="C328" s="81"/>
      <c r="D328" s="81"/>
      <c r="E328" s="81"/>
      <c r="F328" s="81"/>
      <c r="G328" s="81"/>
      <c r="H328" s="81"/>
      <c r="I328" s="81"/>
      <c r="J328" s="81"/>
      <c r="K328" s="364">
        <v>0.45150000000000001</v>
      </c>
      <c r="L328" s="364">
        <v>0.45350000000000001</v>
      </c>
      <c r="M328" s="364">
        <v>0.45550000000000002</v>
      </c>
      <c r="N328" s="364">
        <v>0.45750000000000002</v>
      </c>
      <c r="O328" s="364">
        <v>0.45950000000000002</v>
      </c>
    </row>
    <row r="329" spans="2:18" ht="12.95" customHeight="1" x14ac:dyDescent="0.2">
      <c r="B329" s="81" t="s">
        <v>104</v>
      </c>
      <c r="C329" s="81"/>
      <c r="D329" s="81"/>
      <c r="E329" s="81"/>
      <c r="F329" s="81"/>
      <c r="G329" s="81"/>
      <c r="H329" s="81"/>
      <c r="I329" s="81"/>
      <c r="J329" s="81"/>
      <c r="K329" s="364">
        <v>0.44400000000000001</v>
      </c>
      <c r="L329" s="364">
        <v>0.44600000000000001</v>
      </c>
      <c r="M329" s="364">
        <v>0.44800000000000001</v>
      </c>
      <c r="N329" s="364">
        <v>0.45</v>
      </c>
      <c r="O329" s="364">
        <v>0.45200000000000001</v>
      </c>
    </row>
    <row r="330" spans="2:18" ht="12.95" customHeight="1" x14ac:dyDescent="0.2">
      <c r="B330" s="363" t="s">
        <v>333</v>
      </c>
      <c r="C330" s="363"/>
      <c r="D330" s="363"/>
      <c r="E330" s="363"/>
      <c r="F330" s="363"/>
      <c r="G330" s="363"/>
      <c r="H330" s="363"/>
      <c r="I330" s="363"/>
      <c r="J330" s="363"/>
      <c r="K330" s="365">
        <v>0.4365</v>
      </c>
      <c r="L330" s="365">
        <v>0.4385</v>
      </c>
      <c r="M330" s="365">
        <v>0.4405</v>
      </c>
      <c r="N330" s="365">
        <v>0.4425</v>
      </c>
      <c r="O330" s="365">
        <v>0.44450000000000001</v>
      </c>
    </row>
    <row r="331" spans="2:18" ht="12.95" customHeight="1" x14ac:dyDescent="0.2">
      <c r="B331" s="362" t="str">
        <f ca="1">+OFFSET(B327,$D$10,0)</f>
        <v>Mid (Base) Case</v>
      </c>
      <c r="C331" s="363"/>
      <c r="D331" s="363"/>
      <c r="E331" s="363"/>
      <c r="F331" s="363"/>
      <c r="G331" s="363"/>
      <c r="H331" s="363"/>
      <c r="I331" s="363"/>
      <c r="J331" s="363"/>
      <c r="K331" s="368">
        <f ca="1">+OFFSET(K327,$D$10,0)</f>
        <v>0.44400000000000001</v>
      </c>
      <c r="L331" s="368">
        <f t="shared" ref="L331:O331" ca="1" si="46">+OFFSET(L327,$D$10,0)</f>
        <v>0.44600000000000001</v>
      </c>
      <c r="M331" s="368">
        <f t="shared" ca="1" si="46"/>
        <v>0.44800000000000001</v>
      </c>
      <c r="N331" s="368">
        <f t="shared" ca="1" si="46"/>
        <v>0.45</v>
      </c>
      <c r="O331" s="368">
        <f t="shared" ca="1" si="46"/>
        <v>0.45200000000000001</v>
      </c>
    </row>
    <row r="332" spans="2:18" ht="12.95" customHeight="1" x14ac:dyDescent="0.2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8" ht="12.95" customHeight="1" x14ac:dyDescent="0.2">
      <c r="B333" s="362" t="s">
        <v>361</v>
      </c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</row>
    <row r="334" spans="2:18" ht="12.95" customHeight="1" x14ac:dyDescent="0.2">
      <c r="B334" s="81" t="s">
        <v>332</v>
      </c>
      <c r="C334" s="81"/>
      <c r="D334" s="81"/>
      <c r="E334" s="81"/>
      <c r="F334" s="81"/>
      <c r="G334" s="81"/>
      <c r="H334" s="81"/>
      <c r="I334" s="81"/>
      <c r="J334" s="81"/>
      <c r="K334" s="364">
        <v>0.26800000000000002</v>
      </c>
      <c r="L334" s="364">
        <v>0.26650000000000001</v>
      </c>
      <c r="M334" s="364">
        <v>0.26500000000000001</v>
      </c>
      <c r="N334" s="364">
        <v>0.26350000000000001</v>
      </c>
      <c r="O334" s="364">
        <v>0.26200000000000001</v>
      </c>
    </row>
    <row r="335" spans="2:18" ht="12.95" customHeight="1" x14ac:dyDescent="0.2">
      <c r="B335" s="81" t="s">
        <v>104</v>
      </c>
      <c r="C335" s="81"/>
      <c r="D335" s="81"/>
      <c r="E335" s="81"/>
      <c r="F335" s="81"/>
      <c r="G335" s="81"/>
      <c r="H335" s="81"/>
      <c r="I335" s="81"/>
      <c r="J335" s="81"/>
      <c r="K335" s="364">
        <v>0.27300000000000002</v>
      </c>
      <c r="L335" s="364">
        <v>0.27150000000000002</v>
      </c>
      <c r="M335" s="364">
        <v>0.27</v>
      </c>
      <c r="N335" s="364">
        <v>0.26850000000000002</v>
      </c>
      <c r="O335" s="364">
        <v>0.26700000000000002</v>
      </c>
    </row>
    <row r="336" spans="2:18" ht="12.95" customHeight="1" x14ac:dyDescent="0.2">
      <c r="B336" s="363" t="s">
        <v>333</v>
      </c>
      <c r="C336" s="363"/>
      <c r="D336" s="363"/>
      <c r="E336" s="363"/>
      <c r="F336" s="363"/>
      <c r="G336" s="363"/>
      <c r="H336" s="363"/>
      <c r="I336" s="363"/>
      <c r="J336" s="363"/>
      <c r="K336" s="365">
        <v>0.27800000000000002</v>
      </c>
      <c r="L336" s="365">
        <v>0.27650000000000002</v>
      </c>
      <c r="M336" s="365">
        <v>0.27500000000000002</v>
      </c>
      <c r="N336" s="365">
        <v>0.27350000000000002</v>
      </c>
      <c r="O336" s="365">
        <v>0.27200000000000002</v>
      </c>
    </row>
    <row r="337" spans="2:17" ht="12.95" customHeight="1" x14ac:dyDescent="0.2">
      <c r="B337" s="362" t="str">
        <f ca="1">+OFFSET(B333,$D$10,0)</f>
        <v>Mid (Base) Case</v>
      </c>
      <c r="C337" s="363"/>
      <c r="D337" s="363"/>
      <c r="E337" s="363"/>
      <c r="F337" s="363"/>
      <c r="G337" s="363"/>
      <c r="H337" s="363"/>
      <c r="I337" s="363"/>
      <c r="J337" s="363"/>
      <c r="K337" s="368">
        <f ca="1">+OFFSET(K333,$D$10,0)</f>
        <v>0.27300000000000002</v>
      </c>
      <c r="L337" s="368">
        <f t="shared" ref="L337:O337" ca="1" si="47">+OFFSET(L333,$D$10,0)</f>
        <v>0.27150000000000002</v>
      </c>
      <c r="M337" s="368">
        <f t="shared" ca="1" si="47"/>
        <v>0.27</v>
      </c>
      <c r="N337" s="368">
        <f t="shared" ca="1" si="47"/>
        <v>0.26850000000000002</v>
      </c>
      <c r="O337" s="368">
        <f t="shared" ca="1" si="47"/>
        <v>0.26700000000000002</v>
      </c>
    </row>
    <row r="339" spans="2:17" ht="12.95" customHeight="1" x14ac:dyDescent="0.2">
      <c r="B339" s="26" t="s">
        <v>319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30"/>
    </row>
    <row r="341" spans="2:17" ht="12.95" customHeight="1" x14ac:dyDescent="0.2">
      <c r="B341" s="372" t="s">
        <v>363</v>
      </c>
      <c r="H341" s="255" t="s">
        <v>334</v>
      </c>
    </row>
    <row r="342" spans="2:17" ht="12.95" customHeight="1" x14ac:dyDescent="0.2">
      <c r="B342" s="374" t="s">
        <v>320</v>
      </c>
    </row>
    <row r="343" spans="2:17" ht="12.95" customHeight="1" x14ac:dyDescent="0.2">
      <c r="B343" s="374" t="s">
        <v>318</v>
      </c>
      <c r="C343" s="81"/>
      <c r="D343" s="81"/>
      <c r="E343" s="81"/>
      <c r="F343" s="81"/>
      <c r="G343" s="81"/>
      <c r="H343" s="81"/>
      <c r="I343" s="81"/>
      <c r="J343" s="373" t="s">
        <v>315</v>
      </c>
      <c r="K343" s="108"/>
      <c r="L343" s="108"/>
      <c r="M343" s="108"/>
      <c r="N343" s="108"/>
      <c r="O343" s="81"/>
      <c r="P343" s="81"/>
      <c r="Q343" s="81"/>
    </row>
    <row r="344" spans="2:17" ht="12.95" customHeight="1" x14ac:dyDescent="0.2">
      <c r="C344" s="81"/>
      <c r="D344" s="81"/>
      <c r="E344" s="81"/>
      <c r="F344" s="81"/>
      <c r="G344" s="81"/>
      <c r="H344" s="81"/>
      <c r="I344" s="375"/>
      <c r="J344" s="376"/>
      <c r="K344" s="376"/>
      <c r="L344" s="377"/>
      <c r="M344" s="376"/>
      <c r="N344" s="378"/>
      <c r="O344" s="81"/>
      <c r="P344" s="81"/>
      <c r="Q344" s="81"/>
    </row>
    <row r="345" spans="2:17" ht="12.95" customHeight="1" x14ac:dyDescent="0.2">
      <c r="C345" s="81"/>
      <c r="D345" s="81"/>
      <c r="E345" s="81"/>
      <c r="F345" s="81"/>
      <c r="G345" s="81"/>
      <c r="H345" s="81"/>
      <c r="I345" s="379"/>
      <c r="J345" s="380"/>
      <c r="K345" s="381"/>
      <c r="L345" s="381"/>
      <c r="M345" s="381"/>
      <c r="N345" s="382"/>
      <c r="O345" s="81"/>
      <c r="P345" s="81"/>
      <c r="Q345" s="81"/>
    </row>
    <row r="346" spans="2:17" ht="12.95" customHeight="1" x14ac:dyDescent="0.2">
      <c r="B346" s="81"/>
      <c r="C346" s="81"/>
      <c r="D346" s="81"/>
      <c r="E346" s="81"/>
      <c r="F346" s="81"/>
      <c r="G346" s="81"/>
      <c r="H346" s="383" t="s">
        <v>316</v>
      </c>
      <c r="I346" s="379"/>
      <c r="J346" s="384"/>
      <c r="K346" s="382"/>
      <c r="L346" s="382"/>
      <c r="M346" s="382"/>
      <c r="N346" s="382"/>
      <c r="O346" s="81"/>
      <c r="P346" s="81"/>
      <c r="Q346" s="81"/>
    </row>
    <row r="347" spans="2:17" ht="12.95" customHeight="1" x14ac:dyDescent="0.2">
      <c r="B347" s="81"/>
      <c r="C347" s="81"/>
      <c r="D347" s="81"/>
      <c r="E347" s="81"/>
      <c r="F347" s="81"/>
      <c r="G347" s="81"/>
      <c r="H347" s="383" t="s">
        <v>317</v>
      </c>
      <c r="I347" s="385"/>
      <c r="J347" s="384"/>
      <c r="K347" s="382"/>
      <c r="L347" s="382"/>
      <c r="M347" s="382"/>
      <c r="N347" s="382"/>
      <c r="O347" s="81"/>
      <c r="P347" s="81"/>
      <c r="Q347" s="81"/>
    </row>
    <row r="348" spans="2:17" ht="12.95" customHeight="1" x14ac:dyDescent="0.2">
      <c r="B348" s="81"/>
      <c r="C348" s="81"/>
      <c r="D348" s="81"/>
      <c r="E348" s="81"/>
      <c r="F348" s="81"/>
      <c r="G348" s="81"/>
      <c r="H348" s="81"/>
      <c r="I348" s="379"/>
      <c r="J348" s="384"/>
      <c r="K348" s="382"/>
      <c r="L348" s="382"/>
      <c r="M348" s="382"/>
      <c r="N348" s="382"/>
      <c r="O348" s="81"/>
      <c r="P348" s="81"/>
      <c r="Q348" s="81"/>
    </row>
    <row r="349" spans="2:17" ht="12.95" customHeight="1" x14ac:dyDescent="0.2">
      <c r="B349" s="81"/>
      <c r="C349" s="81"/>
      <c r="D349" s="81"/>
      <c r="E349" s="81"/>
      <c r="F349" s="81"/>
      <c r="G349" s="81"/>
      <c r="H349" s="81"/>
      <c r="I349" s="379"/>
      <c r="J349" s="384"/>
      <c r="K349" s="382"/>
      <c r="L349" s="382"/>
      <c r="M349" s="382"/>
      <c r="N349" s="382"/>
      <c r="O349" s="81"/>
      <c r="P349" s="81"/>
      <c r="Q349" s="81"/>
    </row>
  </sheetData>
  <conditionalFormatting sqref="A247:A262 A264:A272 A309:A318 A328:A1048576 A274:A290 A1:A245 A292:A305">
    <cfRule type="expression" dxfId="49" priority="7">
      <formula>$D$18&gt;0</formula>
    </cfRule>
  </conditionalFormatting>
  <conditionalFormatting sqref="A246">
    <cfRule type="expression" dxfId="48" priority="6">
      <formula>$D$18&gt;0</formula>
    </cfRule>
  </conditionalFormatting>
  <conditionalFormatting sqref="A263">
    <cfRule type="expression" dxfId="47" priority="5">
      <formula>$D$18&gt;0</formula>
    </cfRule>
  </conditionalFormatting>
  <conditionalFormatting sqref="A273">
    <cfRule type="expression" dxfId="46" priority="4">
      <formula>$D$18&gt;0</formula>
    </cfRule>
  </conditionalFormatting>
  <conditionalFormatting sqref="A281">
    <cfRule type="expression" dxfId="45" priority="3">
      <formula>$D$18&gt;0</formula>
    </cfRule>
  </conditionalFormatting>
  <conditionalFormatting sqref="A291">
    <cfRule type="expression" dxfId="44" priority="2">
      <formula>$D$18&gt;0</formula>
    </cfRule>
  </conditionalFormatting>
  <conditionalFormatting sqref="A306:A308">
    <cfRule type="expression" dxfId="43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8" manualBreakCount="8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  <brk id="317" min="1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6F8F-39BD-4D32-B735-F7A1AD08BAF2}">
  <dimension ref="A2:X349"/>
  <sheetViews>
    <sheetView showGridLines="0" zoomScaleNormal="100" zoomScaleSheetLayoutView="85" workbookViewId="0"/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332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333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+IF(SUM(H130:O130)=0,0,1)</f>
        <v>0</v>
      </c>
    </row>
    <row r="17" spans="1:15" ht="12.95" customHeight="1" x14ac:dyDescent="0.2">
      <c r="B17" s="1" t="s">
        <v>8</v>
      </c>
      <c r="D17" s="259">
        <f ca="1">+IF(SUM(K225:O225)=0,0,1)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ca="1" si="0"/>
        <v>1478.7282679410305</v>
      </c>
      <c r="L27" s="147">
        <f t="shared" ca="1" si="0"/>
        <v>1589.6328880366079</v>
      </c>
      <c r="M27" s="147">
        <f t="shared" ca="1" si="0"/>
        <v>1712.8294368594452</v>
      </c>
      <c r="N27" s="147">
        <f t="shared" ca="1" si="0"/>
        <v>1849.8557918082008</v>
      </c>
      <c r="O27" s="147">
        <f t="shared" ca="1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ca="1" si="1"/>
        <v>7.2500000000000009E-2</v>
      </c>
      <c r="L28" s="218">
        <f t="shared" ca="1" si="1"/>
        <v>7.5000000000000178E-2</v>
      </c>
      <c r="M28" s="218">
        <f t="shared" ca="1" si="1"/>
        <v>7.7500000000000124E-2</v>
      </c>
      <c r="N28" s="218">
        <f t="shared" ca="1" si="1"/>
        <v>8.0000000000000071E-2</v>
      </c>
      <c r="O28" s="218">
        <f t="shared" ca="1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ca="1" si="2"/>
        <v>272.82536543511998</v>
      </c>
      <c r="L29" s="147">
        <f t="shared" ca="1" si="2"/>
        <v>299.64579939490051</v>
      </c>
      <c r="M29" s="147">
        <f t="shared" ca="1" si="2"/>
        <v>329.71966659544307</v>
      </c>
      <c r="N29" s="147">
        <f t="shared" ca="1" si="2"/>
        <v>363.49666309031136</v>
      </c>
      <c r="O29" s="147">
        <f t="shared" ca="1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ca="1" si="3"/>
        <v>0.18449999999999991</v>
      </c>
      <c r="L30" s="218">
        <f t="shared" ca="1" si="3"/>
        <v>0.18849999999999995</v>
      </c>
      <c r="M30" s="218">
        <f t="shared" ca="1" si="3"/>
        <v>0.19249999999999992</v>
      </c>
      <c r="N30" s="218">
        <f t="shared" ca="1" si="3"/>
        <v>0.19649999999999995</v>
      </c>
      <c r="O30" s="218">
        <f t="shared" ca="1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-5.5115731903479261</v>
      </c>
      <c r="L32" s="160">
        <f ca="1">-SUM(L69:L70)</f>
        <v>-7.3597362289823476</v>
      </c>
      <c r="M32" s="160">
        <f ca="1">-SUM(M69:M70)</f>
        <v>-9.3998507142610155</v>
      </c>
      <c r="N32" s="160">
        <f ca="1">-SUM(N69:N70)</f>
        <v>-11.654960374885462</v>
      </c>
      <c r="O32" s="160">
        <f ca="1">-SUM(O69:O70)</f>
        <v>-14.151263204984968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 ca="1">-K173</f>
        <v>21.441559885144944</v>
      </c>
      <c r="L33" s="160">
        <f ca="1">-L173</f>
        <v>23.84449332054912</v>
      </c>
      <c r="M33" s="160">
        <f ca="1">-M173</f>
        <v>26.548856271321402</v>
      </c>
      <c r="N33" s="160">
        <f ca="1">-N173</f>
        <v>29.597692668931213</v>
      </c>
      <c r="O33" s="160">
        <f ca="1">-O173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 ca="1">+K33/K27</f>
        <v>1.4500000000000001E-2</v>
      </c>
      <c r="L34" s="218">
        <f ca="1">+L33/L27</f>
        <v>1.5000000000000001E-2</v>
      </c>
      <c r="M34" s="218">
        <f ca="1">+M33/M27</f>
        <v>1.55E-2</v>
      </c>
      <c r="N34" s="218">
        <f ca="1">+N33/N27</f>
        <v>1.6E-2</v>
      </c>
      <c r="O34" s="218">
        <f ca="1"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328</v>
      </c>
      <c r="H38" s="143"/>
      <c r="I38" s="143"/>
      <c r="J38" s="120"/>
      <c r="K38" s="118">
        <f ca="1">+K84+K157</f>
        <v>283.93724612209644</v>
      </c>
      <c r="L38" s="118">
        <f t="shared" ref="L38:O38" ca="1" si="4">+L84+L157</f>
        <v>311.59107113340019</v>
      </c>
      <c r="M38" s="118">
        <f t="shared" ca="1" si="4"/>
        <v>342.59069689367647</v>
      </c>
      <c r="N38" s="118">
        <f t="shared" ca="1" si="4"/>
        <v>377.39737581240342</v>
      </c>
      <c r="O38" s="118">
        <f t="shared" ca="1" si="4"/>
        <v>416.54253489545624</v>
      </c>
    </row>
    <row r="39" spans="2:15" ht="12.95" customHeight="1" x14ac:dyDescent="0.2">
      <c r="B39" s="1" t="s">
        <v>330</v>
      </c>
      <c r="H39" s="143"/>
      <c r="I39" s="143"/>
      <c r="J39" s="124"/>
      <c r="K39" s="137">
        <f ca="1">-K32</f>
        <v>5.5115731903479261</v>
      </c>
      <c r="L39" s="137">
        <f ca="1">-L32</f>
        <v>7.3597362289823476</v>
      </c>
      <c r="M39" s="137">
        <f ca="1">-M32</f>
        <v>9.3998507142610155</v>
      </c>
      <c r="N39" s="137">
        <f ca="1">-N32</f>
        <v>11.654960374885462</v>
      </c>
      <c r="O39" s="137">
        <f ca="1">-O32</f>
        <v>14.151263204984968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-67.177267822148636</v>
      </c>
      <c r="L40" s="137">
        <f ca="1">+L72</f>
        <v>-74.035175549756303</v>
      </c>
      <c r="M40" s="137">
        <f ca="1">+M72</f>
        <v>-81.713707523562945</v>
      </c>
      <c r="N40" s="137">
        <f ca="1">+N72</f>
        <v>-90.324984512899192</v>
      </c>
      <c r="O40" s="137">
        <f ca="1">+O72</f>
        <v>-99.99808226511341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 ca="1">+K168</f>
        <v>-10.511989007322436</v>
      </c>
      <c r="L41" s="137">
        <f ca="1">+L168</f>
        <v>-11.660916381467509</v>
      </c>
      <c r="M41" s="137">
        <f ca="1">+M168</f>
        <v>-12.951044653209886</v>
      </c>
      <c r="N41" s="137">
        <f ca="1">+N168</f>
        <v>-14.402236689579912</v>
      </c>
      <c r="O41" s="137">
        <f ca="1">+O168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 ca="1">-K33</f>
        <v>-21.441559885144944</v>
      </c>
      <c r="L42" s="137">
        <f ca="1">-L33</f>
        <v>-23.84449332054912</v>
      </c>
      <c r="M42" s="137">
        <f ca="1">-M33</f>
        <v>-26.548856271321402</v>
      </c>
      <c r="N42" s="137">
        <f ca="1">-N33</f>
        <v>-29.597692668931213</v>
      </c>
      <c r="O42" s="137">
        <f ca="1"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190.31800259782835</v>
      </c>
      <c r="L43" s="145">
        <f ca="1">SUM(L38:L42)</f>
        <v>209.4102221106096</v>
      </c>
      <c r="M43" s="145">
        <f ca="1">SUM(M38:M42)</f>
        <v>230.77693915984324</v>
      </c>
      <c r="N43" s="145">
        <f ca="1">SUM(N38:N42)</f>
        <v>254.72742231587861</v>
      </c>
      <c r="O43" s="146">
        <f ca="1">SUM(O38:O42)</f>
        <v>281.61758016587822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190.31800259782835</v>
      </c>
      <c r="L44" s="221">
        <f ca="1">+K44+L43</f>
        <v>399.72822470843795</v>
      </c>
      <c r="M44" s="221">
        <f ca="1">+L44+M43</f>
        <v>630.50516386828122</v>
      </c>
      <c r="N44" s="221">
        <f ca="1">+M44+N43</f>
        <v>885.2325861841598</v>
      </c>
      <c r="O44" s="222">
        <f ca="1">+N44+O43</f>
        <v>1166.8501663500381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889.03639935812873</v>
      </c>
      <c r="L47" s="160">
        <f ca="1">+L103</f>
        <v>1082.9108464859657</v>
      </c>
      <c r="M47" s="160">
        <f ca="1">+M103</f>
        <v>1297.0592964958641</v>
      </c>
      <c r="N47" s="160">
        <f ca="1">+N103</f>
        <v>1533.9327787022996</v>
      </c>
      <c r="O47" s="160">
        <f ca="1">+O103</f>
        <v>1796.3198625346904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5">+K121</f>
        <v>0</v>
      </c>
      <c r="L49" s="137">
        <f t="shared" ca="1" si="5"/>
        <v>0</v>
      </c>
      <c r="M49" s="137">
        <f t="shared" ca="1" si="5"/>
        <v>0</v>
      </c>
      <c r="N49" s="137">
        <f t="shared" ca="1" si="5"/>
        <v>0</v>
      </c>
      <c r="O49" s="137">
        <f t="shared" ca="1" si="5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5"/>
        <v>50</v>
      </c>
      <c r="L50" s="140">
        <f t="shared" si="5"/>
        <v>50</v>
      </c>
      <c r="M50" s="140">
        <f t="shared" si="5"/>
        <v>50</v>
      </c>
      <c r="N50" s="140">
        <f t="shared" si="5"/>
        <v>50</v>
      </c>
      <c r="O50" s="140">
        <f t="shared" si="5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1012.7859470904364</v>
      </c>
      <c r="L52" s="140">
        <f t="shared" ref="L52:O52" ca="1" si="6">+SUM(L125:L127)</f>
        <v>1219.9109434904278</v>
      </c>
      <c r="M52" s="140">
        <f t="shared" ca="1" si="6"/>
        <v>1448.7232676059016</v>
      </c>
      <c r="N52" s="140">
        <f t="shared" ca="1" si="6"/>
        <v>1701.8488425402352</v>
      </c>
      <c r="O52" s="140">
        <f t="shared" ca="1" si="6"/>
        <v>1982.2757951485937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1062.7859470904364</v>
      </c>
      <c r="L53" s="147">
        <f ca="1">SUM(L51:L52)</f>
        <v>1269.9109434904278</v>
      </c>
      <c r="M53" s="147">
        <f ca="1">SUM(M51:M52)</f>
        <v>1498.7232676059016</v>
      </c>
      <c r="N53" s="147">
        <f ca="1">SUM(N51:N52)</f>
        <v>1751.8488425402352</v>
      </c>
      <c r="O53" s="147">
        <f ca="1">SUM(O51:O52)</f>
        <v>2032.2757951485937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-3.0753606726411888</v>
      </c>
      <c r="L56" s="225">
        <f ca="1">+(L51-L47)/L29</f>
        <v>-3.4471060451099529</v>
      </c>
      <c r="M56" s="225">
        <f ca="1">+(M51-M47)/M29</f>
        <v>-3.7821805091959271</v>
      </c>
      <c r="N56" s="225">
        <f ca="1">+(N51-N47)/N29</f>
        <v>-4.0823834972416622</v>
      </c>
      <c r="O56" s="225">
        <f ca="1">+(O51-O47)/O29</f>
        <v>-4.3495430935996904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285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 ca="1">+J64*(1+K89)</f>
        <v>1478.7282679410305</v>
      </c>
      <c r="L64" s="195">
        <f ca="1">+K64*(1+L89)</f>
        <v>1589.6328880366079</v>
      </c>
      <c r="M64" s="195">
        <f ca="1">+L64*(1+M89)</f>
        <v>1712.8294368594452</v>
      </c>
      <c r="N64" s="195">
        <f ca="1">+M64*(1+N89)</f>
        <v>1849.8557918082008</v>
      </c>
      <c r="O64" s="195">
        <f ca="1"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 ca="1">-(K64*(1-K90))</f>
        <v>-822.17291697521307</v>
      </c>
      <c r="L65" s="153">
        <f ca="1">-(L64*(1-L90))</f>
        <v>-880.65661997228085</v>
      </c>
      <c r="M65" s="153">
        <f ca="1">-(M64*(1-M90))</f>
        <v>-945.48184914641388</v>
      </c>
      <c r="N65" s="153">
        <f ca="1">-(N64*(1-N90))</f>
        <v>-1017.4206854945105</v>
      </c>
      <c r="O65" s="153">
        <f ca="1"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7">SUM(H64:H65)</f>
        <v>529.94622062969995</v>
      </c>
      <c r="I66" s="53">
        <f t="shared" si="7"/>
        <v>566.96986070108994</v>
      </c>
      <c r="J66" s="54">
        <f t="shared" si="7"/>
        <v>609.41528618175801</v>
      </c>
      <c r="K66" s="134">
        <f t="shared" ca="1" si="7"/>
        <v>656.55535096581741</v>
      </c>
      <c r="L66" s="135">
        <f t="shared" ca="1" si="7"/>
        <v>708.97626806432709</v>
      </c>
      <c r="M66" s="135">
        <f t="shared" ca="1" si="7"/>
        <v>767.34758771303132</v>
      </c>
      <c r="N66" s="135">
        <f t="shared" ca="1" si="7"/>
        <v>832.43510631369031</v>
      </c>
      <c r="O66" s="135">
        <f t="shared" ca="1" si="7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 ca="1">-K64*K91</f>
        <v>-403.69281714790134</v>
      </c>
      <c r="L67" s="135">
        <f ca="1">-L64*L91</f>
        <v>-431.58532910193907</v>
      </c>
      <c r="M67" s="135">
        <f ca="1">-M64*M91</f>
        <v>-462.46394795205021</v>
      </c>
      <c r="N67" s="135">
        <f ca="1">-N64*N91</f>
        <v>-496.68628010050196</v>
      </c>
      <c r="O67" s="135">
        <f ca="1"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8">+SUM(H66:H67)</f>
        <v>194.19262194307487</v>
      </c>
      <c r="I68" s="55">
        <f t="shared" si="8"/>
        <v>211.32512989767895</v>
      </c>
      <c r="J68" s="56">
        <f t="shared" si="8"/>
        <v>230.9435756458019</v>
      </c>
      <c r="K68" s="196">
        <f t="shared" ca="1" si="8"/>
        <v>252.86253381791607</v>
      </c>
      <c r="L68" s="196">
        <f t="shared" ca="1" si="8"/>
        <v>277.39093896238802</v>
      </c>
      <c r="M68" s="196">
        <f t="shared" ca="1" si="8"/>
        <v>304.88363976098111</v>
      </c>
      <c r="N68" s="196">
        <f t="shared" ca="1" si="8"/>
        <v>335.74882621318835</v>
      </c>
      <c r="O68" s="196">
        <f t="shared" ca="1" si="8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8.0115731903891909</v>
      </c>
      <c r="L69" s="135">
        <f ca="1">+L244</f>
        <v>9.8597362292204735</v>
      </c>
      <c r="M69" s="135">
        <f ca="1">+M244</f>
        <v>11.899850714909148</v>
      </c>
      <c r="N69" s="135">
        <f ca="1">+N244</f>
        <v>14.154960375990818</v>
      </c>
      <c r="O69" s="135">
        <f ca="1">+O244</f>
        <v>16.65126320618495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5" ht="12.95" customHeight="1" x14ac:dyDescent="0.2">
      <c r="B71" s="1" t="s">
        <v>37</v>
      </c>
      <c r="H71" s="53">
        <f t="shared" ref="H71:O71" si="9">+SUM(H68:H70)</f>
        <v>195.11265228478928</v>
      </c>
      <c r="I71" s="53">
        <f t="shared" si="9"/>
        <v>213.63592421907794</v>
      </c>
      <c r="J71" s="54">
        <f t="shared" si="9"/>
        <v>234.77863638934826</v>
      </c>
      <c r="K71" s="134">
        <f t="shared" ca="1" si="9"/>
        <v>258.37410700830526</v>
      </c>
      <c r="L71" s="134">
        <f t="shared" ca="1" si="9"/>
        <v>284.75067519160848</v>
      </c>
      <c r="M71" s="134">
        <f t="shared" ca="1" si="9"/>
        <v>314.28349047589023</v>
      </c>
      <c r="N71" s="134">
        <f t="shared" ca="1" si="9"/>
        <v>347.40378658917916</v>
      </c>
      <c r="O71" s="134">
        <f t="shared" ca="1" si="9"/>
        <v>384.60800871317463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-67.177267822159365</v>
      </c>
      <c r="L72" s="135">
        <f ca="1">-L71*L96</f>
        <v>-74.035175549818206</v>
      </c>
      <c r="M72" s="135">
        <f ca="1">-M71*M96</f>
        <v>-81.713707523731458</v>
      </c>
      <c r="N72" s="135">
        <f ca="1">-N71*N96</f>
        <v>-90.324984513186578</v>
      </c>
      <c r="O72" s="135">
        <f ca="1">-O71*O96</f>
        <v>-99.99808226542541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10">+SUM(H71:H72)</f>
        <v>144.38336269074406</v>
      </c>
      <c r="I73" s="55">
        <f t="shared" si="10"/>
        <v>158.09058392211767</v>
      </c>
      <c r="J73" s="56">
        <f t="shared" si="10"/>
        <v>173.73619092811771</v>
      </c>
      <c r="K73" s="145">
        <f t="shared" ca="1" si="10"/>
        <v>191.19683918614589</v>
      </c>
      <c r="L73" s="145">
        <f t="shared" ca="1" si="10"/>
        <v>210.71549964179027</v>
      </c>
      <c r="M73" s="145">
        <f t="shared" ca="1" si="10"/>
        <v>232.56978295215879</v>
      </c>
      <c r="N73" s="145">
        <f t="shared" ca="1" si="10"/>
        <v>257.0788020759926</v>
      </c>
      <c r="O73" s="145">
        <f t="shared" ca="1" si="10"/>
        <v>284.60992644774922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 ca="1">+K298</f>
        <v>101.89686926219814</v>
      </c>
      <c r="L75" s="193">
        <f ca="1">+L298</f>
        <v>102.25037131335471</v>
      </c>
      <c r="M75" s="193">
        <f ca="1">+M298</f>
        <v>102.61458004154703</v>
      </c>
      <c r="N75" s="193">
        <f ca="1">+N298</f>
        <v>102.9884647971969</v>
      </c>
      <c r="O75" s="193">
        <f ca="1">+O298</f>
        <v>103.37104759455143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1">+H73/H75</f>
        <v>1.4308113800816931</v>
      </c>
      <c r="I76" s="126">
        <f t="shared" si="11"/>
        <v>1.5617690450035633</v>
      </c>
      <c r="J76" s="127">
        <f t="shared" si="11"/>
        <v>1.7107569352043521</v>
      </c>
      <c r="K76" s="200">
        <f t="shared" ca="1" si="11"/>
        <v>1.8763759924180163</v>
      </c>
      <c r="L76" s="200">
        <f t="shared" ca="1" si="11"/>
        <v>2.0607797989900227</v>
      </c>
      <c r="M76" s="200">
        <f t="shared" ca="1" si="11"/>
        <v>2.2664399431152469</v>
      </c>
      <c r="N76" s="200">
        <f t="shared" ca="1" si="11"/>
        <v>2.4961902537553864</v>
      </c>
      <c r="O76" s="200">
        <f t="shared" ca="1" si="11"/>
        <v>2.7532847259521311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 ca="1">+K300</f>
        <v>106.89686926219814</v>
      </c>
      <c r="L78" s="193">
        <f ca="1">+L300</f>
        <v>107.25037131335471</v>
      </c>
      <c r="M78" s="193">
        <f ca="1">+M300</f>
        <v>107.61458004154703</v>
      </c>
      <c r="N78" s="193">
        <f ca="1">+N300</f>
        <v>107.9884647971969</v>
      </c>
      <c r="O78" s="193">
        <f ca="1">+O300</f>
        <v>108.37104759455143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2">+H73/H78</f>
        <v>1.3632630078415335</v>
      </c>
      <c r="I79" s="126">
        <f t="shared" si="12"/>
        <v>1.4882569611323133</v>
      </c>
      <c r="J79" s="127">
        <f t="shared" si="12"/>
        <v>1.6304812842353329</v>
      </c>
      <c r="K79" s="200">
        <f t="shared" ca="1" si="12"/>
        <v>1.7886102792886815</v>
      </c>
      <c r="L79" s="200">
        <f t="shared" ca="1" si="12"/>
        <v>1.964706481305694</v>
      </c>
      <c r="M79" s="200">
        <f t="shared" ca="1" si="12"/>
        <v>2.1611363707628648</v>
      </c>
      <c r="N79" s="200">
        <f t="shared" ca="1" si="12"/>
        <v>2.3806135457040565</v>
      </c>
      <c r="O79" s="200">
        <f t="shared" ca="1" si="12"/>
        <v>2.6262542696141526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13">+H68</f>
        <v>194.19262194307487</v>
      </c>
      <c r="I82" s="53">
        <f t="shared" si="13"/>
        <v>211.32512989767895</v>
      </c>
      <c r="J82" s="54">
        <f t="shared" si="13"/>
        <v>230.9435756458019</v>
      </c>
      <c r="K82" s="197">
        <f t="shared" ca="1" si="13"/>
        <v>252.86253381791607</v>
      </c>
      <c r="L82" s="197">
        <f t="shared" ca="1" si="13"/>
        <v>277.39093896238802</v>
      </c>
      <c r="M82" s="197">
        <f t="shared" ca="1" si="13"/>
        <v>304.88363976098111</v>
      </c>
      <c r="N82" s="197">
        <f t="shared" ca="1" si="13"/>
        <v>335.74882621318835</v>
      </c>
      <c r="O82" s="197">
        <f t="shared" ca="1" si="13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 ca="1">+K156</f>
        <v>19.962831617203911</v>
      </c>
      <c r="L83" s="134">
        <f ca="1">+L156</f>
        <v>22.254860432512512</v>
      </c>
      <c r="M83" s="134">
        <f ca="1">+M156</f>
        <v>24.836026834461958</v>
      </c>
      <c r="N83" s="134">
        <f ca="1">+N156</f>
        <v>27.747836877123014</v>
      </c>
      <c r="O83" s="134">
        <f ca="1">+O156</f>
        <v>31.038267866801853</v>
      </c>
    </row>
    <row r="84" spans="2:15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ca="1" si="14"/>
        <v>272.82536543511998</v>
      </c>
      <c r="L84" s="197">
        <f t="shared" ca="1" si="14"/>
        <v>299.64579939490051</v>
      </c>
      <c r="M84" s="197">
        <f t="shared" ca="1" si="14"/>
        <v>329.71966659544307</v>
      </c>
      <c r="N84" s="197">
        <f t="shared" ca="1" si="14"/>
        <v>363.49666309031136</v>
      </c>
      <c r="O84" s="197">
        <f t="shared" ca="1" si="14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ca="1" si="15"/>
        <v>272.82536543511998</v>
      </c>
      <c r="L86" s="145">
        <f t="shared" ca="1" si="15"/>
        <v>299.64579939490051</v>
      </c>
      <c r="M86" s="145">
        <f t="shared" ca="1" si="15"/>
        <v>329.71966659544307</v>
      </c>
      <c r="N86" s="145">
        <f t="shared" ca="1" si="15"/>
        <v>363.49666309031136</v>
      </c>
      <c r="O86" s="145">
        <f t="shared" ca="1" si="15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71">
        <f ca="1">+K325</f>
        <v>7.2500000000000064E-2</v>
      </c>
      <c r="L89" s="61">
        <f t="shared" ref="L89:O89" ca="1" si="16">+L325</f>
        <v>7.5000000000000067E-2</v>
      </c>
      <c r="M89" s="61">
        <f t="shared" ca="1" si="16"/>
        <v>7.7500000000000069E-2</v>
      </c>
      <c r="N89" s="61">
        <f t="shared" ca="1" si="16"/>
        <v>8.0000000000000071E-2</v>
      </c>
      <c r="O89" s="61">
        <f t="shared" ca="1" si="16"/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71">
        <f ca="1">+K331</f>
        <v>0.44400000000000001</v>
      </c>
      <c r="L90" s="61">
        <f t="shared" ref="L90:O90" ca="1" si="17">+L331</f>
        <v>0.44600000000000001</v>
      </c>
      <c r="M90" s="61">
        <f t="shared" ca="1" si="17"/>
        <v>0.44800000000000001</v>
      </c>
      <c r="N90" s="61">
        <f t="shared" ca="1" si="17"/>
        <v>0.45</v>
      </c>
      <c r="O90" s="61">
        <f t="shared" ca="1" si="17"/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71">
        <f ca="1">+K337</f>
        <v>0.27300000000000002</v>
      </c>
      <c r="L91" s="61">
        <f t="shared" ref="L91:O91" ca="1" si="18">+L337</f>
        <v>0.27150000000000002</v>
      </c>
      <c r="M91" s="61">
        <f t="shared" ca="1" si="18"/>
        <v>0.27</v>
      </c>
      <c r="N91" s="61">
        <f t="shared" ca="1" si="18"/>
        <v>0.26850000000000002</v>
      </c>
      <c r="O91" s="61">
        <f t="shared" ca="1" si="18"/>
        <v>0.26700000000000002</v>
      </c>
    </row>
    <row r="92" spans="2:15" ht="12.95" customHeight="1" x14ac:dyDescent="0.2">
      <c r="B92" s="1" t="s">
        <v>47</v>
      </c>
      <c r="H92" s="63">
        <f t="shared" ref="H92:O92" si="19">+H86/H64</f>
        <v>0.17422744656671477</v>
      </c>
      <c r="I92" s="63">
        <f t="shared" si="19"/>
        <v>0.17956985466122871</v>
      </c>
      <c r="J92" s="64">
        <f t="shared" si="19"/>
        <v>0.18231321346059967</v>
      </c>
      <c r="K92" s="190">
        <f t="shared" ca="1" si="19"/>
        <v>0.18449999999999991</v>
      </c>
      <c r="L92" s="63">
        <f t="shared" ca="1" si="19"/>
        <v>0.18849999999999995</v>
      </c>
      <c r="M92" s="63">
        <f t="shared" ca="1" si="19"/>
        <v>0.19249999999999992</v>
      </c>
      <c r="N92" s="63">
        <f t="shared" ca="1" si="19"/>
        <v>0.19649999999999995</v>
      </c>
      <c r="O92" s="63">
        <f t="shared" ca="1" si="19"/>
        <v>0.20049999999999993</v>
      </c>
    </row>
    <row r="93" spans="2:15" ht="12.95" customHeight="1" x14ac:dyDescent="0.2">
      <c r="B93" s="1" t="s">
        <v>152</v>
      </c>
      <c r="I93" s="63">
        <f t="shared" ref="I93:O93" si="20">+I86/H86-1</f>
        <v>9.7656534505765391E-2</v>
      </c>
      <c r="J93" s="64">
        <f t="shared" si="20"/>
        <v>8.6346807880781418E-2</v>
      </c>
      <c r="K93" s="190">
        <f t="shared" ca="1" si="20"/>
        <v>8.536428185312861E-2</v>
      </c>
      <c r="L93" s="63">
        <f t="shared" ca="1" si="20"/>
        <v>9.8306233062330994E-2</v>
      </c>
      <c r="M93" s="63">
        <f t="shared" ca="1" si="20"/>
        <v>0.10036472148541109</v>
      </c>
      <c r="N93" s="63">
        <f t="shared" ca="1" si="20"/>
        <v>0.10244155844155856</v>
      </c>
      <c r="O93" s="63">
        <f t="shared" ca="1" si="20"/>
        <v>0.10453562340966926</v>
      </c>
    </row>
    <row r="94" spans="2:15" ht="12.95" customHeight="1" x14ac:dyDescent="0.2">
      <c r="B94" s="1" t="s">
        <v>136</v>
      </c>
      <c r="I94" s="63">
        <f t="shared" ref="I94:O94" si="21">+I73/H73-1</f>
        <v>9.493629304598783E-2</v>
      </c>
      <c r="J94" s="64">
        <f t="shared" si="21"/>
        <v>9.896609031254977E-2</v>
      </c>
      <c r="K94" s="190">
        <f t="shared" ca="1" si="21"/>
        <v>0.10050092709383973</v>
      </c>
      <c r="L94" s="63">
        <f t="shared" ca="1" si="21"/>
        <v>0.10208673186611295</v>
      </c>
      <c r="M94" s="63">
        <f t="shared" ca="1" si="21"/>
        <v>0.10371464532756303</v>
      </c>
      <c r="N94" s="63">
        <f t="shared" ca="1" si="21"/>
        <v>0.1053835060287065</v>
      </c>
      <c r="O94" s="63">
        <f t="shared" ca="1" si="21"/>
        <v>0.10709216065048577</v>
      </c>
    </row>
    <row r="95" spans="2:15" ht="12.95" customHeight="1" x14ac:dyDescent="0.2">
      <c r="B95" s="1" t="s">
        <v>137</v>
      </c>
      <c r="I95" s="63">
        <f t="shared" ref="I95:O95" si="22">+I79/H79-1</f>
        <v>9.168733587855793E-2</v>
      </c>
      <c r="J95" s="64">
        <f t="shared" si="22"/>
        <v>9.5564359393159437E-2</v>
      </c>
      <c r="K95" s="190">
        <f t="shared" ca="1" si="22"/>
        <v>9.6983017580301922E-2</v>
      </c>
      <c r="L95" s="63">
        <f t="shared" ca="1" si="22"/>
        <v>9.8454204393281675E-2</v>
      </c>
      <c r="M95" s="63">
        <f t="shared" ca="1" si="22"/>
        <v>9.9979254573756116E-2</v>
      </c>
      <c r="N95" s="63">
        <f t="shared" ca="1" si="22"/>
        <v>0.10155637465104439</v>
      </c>
      <c r="O95" s="63">
        <f t="shared" ca="1" si="22"/>
        <v>0.10318378821013097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3">+H83/H64</f>
        <v>1.0999999999999999E-2</v>
      </c>
      <c r="I97" s="65">
        <f t="shared" si="23"/>
        <v>1.2E-2</v>
      </c>
      <c r="J97" s="167">
        <f t="shared" si="23"/>
        <v>1.2999999999999999E-2</v>
      </c>
      <c r="K97" s="76">
        <f t="shared" ca="1" si="23"/>
        <v>1.35E-2</v>
      </c>
      <c r="L97" s="76">
        <f t="shared" ca="1" si="23"/>
        <v>1.4E-2</v>
      </c>
      <c r="M97" s="76">
        <f t="shared" ca="1" si="23"/>
        <v>1.4500000000000001E-2</v>
      </c>
      <c r="N97" s="76">
        <f t="shared" ca="1" si="23"/>
        <v>1.5000000000000001E-2</v>
      </c>
      <c r="O97" s="76">
        <f t="shared" ca="1" si="2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889.03639935812873</v>
      </c>
      <c r="L103" s="118">
        <f ca="1">+K103+L184</f>
        <v>1082.9108464859657</v>
      </c>
      <c r="M103" s="118">
        <f ca="1">+L103+M184</f>
        <v>1297.0592964958641</v>
      </c>
      <c r="N103" s="118">
        <f ca="1">+M103+N184</f>
        <v>1533.9327787022996</v>
      </c>
      <c r="O103" s="118">
        <f ca="1">+N103+O184</f>
        <v>1796.3198625346904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 ca="1">+(K138/365)*K133</f>
        <v>121.53930969378332</v>
      </c>
      <c r="L104" s="135">
        <f ca="1">+(L138/365)*L133</f>
        <v>130.65475792081708</v>
      </c>
      <c r="M104" s="135">
        <f ca="1">+(M138/365)*M133</f>
        <v>140.78050165968043</v>
      </c>
      <c r="N104" s="135">
        <f ca="1">+(N138/365)*N133</f>
        <v>152.04294179245485</v>
      </c>
      <c r="O104" s="135">
        <f ca="1"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 ca="1">+K134/K139</f>
        <v>164.43458339504261</v>
      </c>
      <c r="L105" s="137">
        <f ca="1">+L134/L139</f>
        <v>176.13132399445618</v>
      </c>
      <c r="M105" s="137">
        <f ca="1">+M134/M139</f>
        <v>189.09636982928276</v>
      </c>
      <c r="N105" s="137">
        <f ca="1">+N134/N139</f>
        <v>203.4841370989021</v>
      </c>
      <c r="O105" s="137">
        <f ca="1"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 ca="1">+K140*K133</f>
        <v>38.446934966466785</v>
      </c>
      <c r="L106" s="140">
        <f ca="1">+L140*L133</f>
        <v>41.330455088951801</v>
      </c>
      <c r="M106" s="140">
        <f ca="1">+M140*M133</f>
        <v>44.53356535834557</v>
      </c>
      <c r="N106" s="140">
        <f ca="1">+N140*N133</f>
        <v>48.096250587013216</v>
      </c>
      <c r="O106" s="140">
        <f ca="1"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4">+SUM(H103:H106)</f>
        <v>675.32399663851754</v>
      </c>
      <c r="I107" s="147">
        <f t="shared" si="24"/>
        <v>837.46596294440201</v>
      </c>
      <c r="J107" s="123">
        <f t="shared" si="24"/>
        <v>1016.3200283350651</v>
      </c>
      <c r="K107" s="154">
        <f t="shared" ca="1" si="24"/>
        <v>1213.4572274134216</v>
      </c>
      <c r="L107" s="147">
        <f t="shared" ca="1" si="24"/>
        <v>1431.0273834901907</v>
      </c>
      <c r="M107" s="147">
        <f t="shared" ca="1" si="24"/>
        <v>1671.4697333431729</v>
      </c>
      <c r="N107" s="147">
        <f t="shared" ca="1" si="24"/>
        <v>1937.5561081806698</v>
      </c>
      <c r="O107" s="147">
        <f t="shared" ca="1" si="24"/>
        <v>2232.4411291371734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 ca="1">+K258</f>
        <v>7.5793538046166198</v>
      </c>
      <c r="L109" s="136">
        <f ca="1">+L258</f>
        <v>9.1689866926532275</v>
      </c>
      <c r="M109" s="136">
        <f ca="1">+M258</f>
        <v>10.881816129512675</v>
      </c>
      <c r="N109" s="136">
        <f ca="1">+N258</f>
        <v>12.731671921320874</v>
      </c>
      <c r="O109" s="136">
        <f ca="1"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 ca="1">+K141*K133</f>
        <v>59.149130717641221</v>
      </c>
      <c r="L111" s="137">
        <f ca="1">+L141*L133</f>
        <v>63.585315521464317</v>
      </c>
      <c r="M111" s="137">
        <f ca="1">+M141*M133</f>
        <v>68.513177474377812</v>
      </c>
      <c r="N111" s="137">
        <f ca="1">+N141*N133</f>
        <v>73.994231672328041</v>
      </c>
      <c r="O111" s="137">
        <f ca="1"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5">+SUM(H107:H111)</f>
        <v>737.15420182016749</v>
      </c>
      <c r="I112" s="145">
        <f t="shared" si="25"/>
        <v>903.73053547447171</v>
      </c>
      <c r="J112" s="146">
        <f t="shared" si="25"/>
        <v>1087.5713585035742</v>
      </c>
      <c r="K112" s="145">
        <f t="shared" ca="1" si="25"/>
        <v>1290.1857119356794</v>
      </c>
      <c r="L112" s="145">
        <f t="shared" ca="1" si="25"/>
        <v>1513.7816857043083</v>
      </c>
      <c r="M112" s="145">
        <f t="shared" ca="1" si="25"/>
        <v>1760.8647269470634</v>
      </c>
      <c r="N112" s="145">
        <f t="shared" ca="1" si="25"/>
        <v>2034.2820117743186</v>
      </c>
      <c r="O112" s="145">
        <f t="shared" ca="1" si="25"/>
        <v>2337.2740257384216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 ca="1">+(K143/365)*K134</f>
        <v>67.575856189743533</v>
      </c>
      <c r="L114" s="137">
        <f ca="1">+(L143/365)*L134</f>
        <v>72.382735888132672</v>
      </c>
      <c r="M114" s="137">
        <f ca="1">+(M143/365)*M134</f>
        <v>77.710836916143606</v>
      </c>
      <c r="N114" s="137">
        <f ca="1">+(N143/365)*N134</f>
        <v>83.623617985850174</v>
      </c>
      <c r="O114" s="137">
        <f ca="1"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 ca="1">+SUM(K134:K135)*K144</f>
        <v>71.100212579140646</v>
      </c>
      <c r="L115" s="137">
        <f ca="1">+SUM(L134:L135)*L144</f>
        <v>76.110033046304778</v>
      </c>
      <c r="M115" s="137">
        <f ca="1">+SUM(M134:M135)*M144</f>
        <v>81.660856231710923</v>
      </c>
      <c r="N115" s="137">
        <f ca="1">+SUM(N134:N135)*N144</f>
        <v>87.818204004510747</v>
      </c>
      <c r="O115" s="137">
        <f ca="1"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 ca="1">+K133*K145</f>
        <v>73.936413397051524</v>
      </c>
      <c r="L116" s="140">
        <f ca="1">+L133*L145</f>
        <v>79.481644401830408</v>
      </c>
      <c r="M116" s="140">
        <f ca="1">+M133*M145</f>
        <v>85.641471842972265</v>
      </c>
      <c r="N116" s="140">
        <f ca="1">+N133*N145</f>
        <v>92.492789590410041</v>
      </c>
      <c r="O116" s="140">
        <f ca="1"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6">SUM(H114:H116)</f>
        <v>175.29699116643044</v>
      </c>
      <c r="I117" s="147">
        <f t="shared" si="26"/>
        <v>186.21789694050051</v>
      </c>
      <c r="J117" s="148">
        <f t="shared" si="26"/>
        <v>198.7466131689653</v>
      </c>
      <c r="K117" s="149">
        <f t="shared" ca="1" si="26"/>
        <v>212.61248216593572</v>
      </c>
      <c r="L117" s="147">
        <f t="shared" ca="1" si="26"/>
        <v>227.97441333626784</v>
      </c>
      <c r="M117" s="147">
        <f t="shared" ca="1" si="26"/>
        <v>245.01316499082679</v>
      </c>
      <c r="N117" s="147">
        <f t="shared" ca="1" si="26"/>
        <v>263.93461158077093</v>
      </c>
      <c r="O117" s="147">
        <f t="shared" ca="1" si="2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 ca="1">+K133*K146</f>
        <v>14.787282679410305</v>
      </c>
      <c r="L119" s="137">
        <f ca="1">+L133*L146</f>
        <v>15.896328880366079</v>
      </c>
      <c r="M119" s="137">
        <f ca="1">+M133*M146</f>
        <v>17.128294368594453</v>
      </c>
      <c r="N119" s="137">
        <f ca="1">+N133*N146</f>
        <v>18.49855791808201</v>
      </c>
      <c r="O119" s="137">
        <f ca="1"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7">SUM(H121:H122)</f>
        <v>50</v>
      </c>
      <c r="I123" s="154">
        <f t="shared" si="27"/>
        <v>50</v>
      </c>
      <c r="J123" s="123">
        <f t="shared" si="27"/>
        <v>50</v>
      </c>
      <c r="K123" s="154">
        <f t="shared" ca="1" si="27"/>
        <v>50</v>
      </c>
      <c r="L123" s="154">
        <f t="shared" ca="1" si="27"/>
        <v>50</v>
      </c>
      <c r="M123" s="154">
        <f t="shared" ca="1" si="27"/>
        <v>50</v>
      </c>
      <c r="N123" s="154">
        <f t="shared" ca="1" si="27"/>
        <v>50</v>
      </c>
      <c r="O123" s="154">
        <f t="shared" ca="1" si="2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 ca="1">+K270</f>
        <v>166.95493687866619</v>
      </c>
      <c r="L125" s="136">
        <f ca="1">+L270</f>
        <v>178.90020861716587</v>
      </c>
      <c r="M125" s="136">
        <f ca="1">+M270</f>
        <v>191.77123891539929</v>
      </c>
      <c r="N125" s="136">
        <f ca="1">+N270</f>
        <v>205.67195163749136</v>
      </c>
      <c r="O125" s="136">
        <f ca="1"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875.83101021177015</v>
      </c>
      <c r="L127" s="136">
        <f t="shared" ref="L127:O127" ca="1" si="28">+L288</f>
        <v>1076.0107348713034</v>
      </c>
      <c r="M127" s="136">
        <f t="shared" ca="1" si="28"/>
        <v>1296.9520286773572</v>
      </c>
      <c r="N127" s="136">
        <f t="shared" ca="1" si="28"/>
        <v>1541.1768906619182</v>
      </c>
      <c r="O127" s="136">
        <f t="shared" ca="1" si="28"/>
        <v>1811.5563210272619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9">+SUM(H117,H119,H123,H125:H127)</f>
        <v>737.15420182016749</v>
      </c>
      <c r="I128" s="155">
        <f t="shared" si="29"/>
        <v>903.73053547447182</v>
      </c>
      <c r="J128" s="156">
        <f t="shared" si="29"/>
        <v>1087.5713585035739</v>
      </c>
      <c r="K128" s="155">
        <f t="shared" ca="1" si="29"/>
        <v>1290.1857119357824</v>
      </c>
      <c r="L128" s="155">
        <f t="shared" ca="1" si="29"/>
        <v>1513.7816857051032</v>
      </c>
      <c r="M128" s="155">
        <f t="shared" ca="1" si="29"/>
        <v>1760.8647269521778</v>
      </c>
      <c r="N128" s="155">
        <f t="shared" ca="1" si="29"/>
        <v>2034.2820117982624</v>
      </c>
      <c r="O128" s="155">
        <f t="shared" ca="1" si="29"/>
        <v>2337.2740260143355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hidden="1" customHeight="1" outlineLevel="1" x14ac:dyDescent="0.2">
      <c r="B130" s="1" t="s">
        <v>65</v>
      </c>
      <c r="H130" s="137">
        <f t="shared" ref="H130:O130" si="30">+IF(ABS(H112-H128)&gt;0.001,H112-H128,0)</f>
        <v>0</v>
      </c>
      <c r="I130" s="137">
        <f t="shared" si="30"/>
        <v>0</v>
      </c>
      <c r="J130" s="157">
        <f t="shared" si="30"/>
        <v>0</v>
      </c>
      <c r="K130" s="136">
        <f t="shared" ca="1" si="30"/>
        <v>0</v>
      </c>
      <c r="L130" s="137">
        <f t="shared" ca="1" si="30"/>
        <v>0</v>
      </c>
      <c r="M130" s="137">
        <f t="shared" ca="1" si="30"/>
        <v>0</v>
      </c>
      <c r="N130" s="137">
        <f t="shared" ca="1" si="30"/>
        <v>0</v>
      </c>
      <c r="O130" s="137">
        <f t="shared" ca="1" si="30"/>
        <v>0</v>
      </c>
    </row>
    <row r="131" spans="2:15" ht="12.95" hidden="1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hidden="1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hidden="1" customHeight="1" outlineLevel="1" x14ac:dyDescent="0.2">
      <c r="B133" s="1" t="str">
        <f>+B64</f>
        <v>Revenue</v>
      </c>
      <c r="H133" s="137">
        <f t="shared" ref="H133:O133" si="31">+H64</f>
        <v>1209.9228781500001</v>
      </c>
      <c r="I133" s="137">
        <f t="shared" si="31"/>
        <v>1288.5678652297499</v>
      </c>
      <c r="J133" s="157">
        <f t="shared" si="31"/>
        <v>1378.7676157958326</v>
      </c>
      <c r="K133" s="136">
        <f t="shared" ca="1" si="31"/>
        <v>1478.7282679410305</v>
      </c>
      <c r="L133" s="137">
        <f t="shared" ca="1" si="31"/>
        <v>1589.6328880366079</v>
      </c>
      <c r="M133" s="137">
        <f t="shared" ca="1" si="31"/>
        <v>1712.8294368594452</v>
      </c>
      <c r="N133" s="137">
        <f t="shared" ca="1" si="31"/>
        <v>1849.8557918082008</v>
      </c>
      <c r="O133" s="137">
        <f t="shared" ca="1" si="31"/>
        <v>2002.4688946323774</v>
      </c>
    </row>
    <row r="134" spans="2:15" ht="12.95" hidden="1" customHeight="1" outlineLevel="1" x14ac:dyDescent="0.2">
      <c r="B134" s="1" t="str">
        <f>+B65</f>
        <v>Cost of Goods Sold (Cost of Sales)</v>
      </c>
      <c r="H134" s="137">
        <f t="shared" ref="H134:O134" si="32">-H65</f>
        <v>679.97665752030014</v>
      </c>
      <c r="I134" s="137">
        <f t="shared" si="32"/>
        <v>721.59800452866</v>
      </c>
      <c r="J134" s="157">
        <f t="shared" si="32"/>
        <v>769.35232961407462</v>
      </c>
      <c r="K134" s="136">
        <f t="shared" ca="1" si="32"/>
        <v>822.17291697521307</v>
      </c>
      <c r="L134" s="137">
        <f t="shared" ca="1" si="32"/>
        <v>880.65661997228085</v>
      </c>
      <c r="M134" s="137">
        <f t="shared" ca="1" si="32"/>
        <v>945.48184914641388</v>
      </c>
      <c r="N134" s="137">
        <f t="shared" ca="1" si="32"/>
        <v>1017.4206854945105</v>
      </c>
      <c r="O134" s="137">
        <f t="shared" ca="1" si="32"/>
        <v>1097.3529542585429</v>
      </c>
    </row>
    <row r="135" spans="2:15" ht="12.95" hidden="1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33">-H67</f>
        <v>335.75359868662508</v>
      </c>
      <c r="I135" s="140">
        <f t="shared" si="33"/>
        <v>355.64473080341099</v>
      </c>
      <c r="J135" s="122">
        <f t="shared" si="33"/>
        <v>378.47171053595611</v>
      </c>
      <c r="K135" s="140">
        <f t="shared" ca="1" si="33"/>
        <v>403.69281714790134</v>
      </c>
      <c r="L135" s="140">
        <f t="shared" ca="1" si="33"/>
        <v>431.58532910193907</v>
      </c>
      <c r="M135" s="140">
        <f t="shared" ca="1" si="33"/>
        <v>462.46394795205021</v>
      </c>
      <c r="N135" s="140">
        <f t="shared" ca="1" si="33"/>
        <v>496.68628010050196</v>
      </c>
      <c r="O135" s="140">
        <f t="shared" ca="1" si="33"/>
        <v>534.65919486684481</v>
      </c>
    </row>
    <row r="136" spans="2:15" ht="12.95" hidden="1" customHeight="1" outlineLevel="1" x14ac:dyDescent="0.2">
      <c r="J136" s="161"/>
      <c r="K136" s="93"/>
    </row>
    <row r="137" spans="2:15" s="21" customFormat="1" ht="12.95" customHeight="1" collapsed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34">+(H107-H103)-H117</f>
        <v>91.6020511818584</v>
      </c>
      <c r="I148" s="17">
        <f t="shared" si="34"/>
        <v>97.514156014335072</v>
      </c>
      <c r="J148" s="40">
        <f t="shared" si="34"/>
        <v>104.29517644639051</v>
      </c>
      <c r="K148" s="115">
        <f t="shared" ca="1" si="34"/>
        <v>111.80834588935716</v>
      </c>
      <c r="L148" s="17">
        <f t="shared" ca="1" si="34"/>
        <v>120.14212366795709</v>
      </c>
      <c r="M148" s="17">
        <f t="shared" ca="1" si="34"/>
        <v>129.39727185648201</v>
      </c>
      <c r="N148" s="17">
        <f t="shared" ca="1" si="34"/>
        <v>139.68871789759919</v>
      </c>
      <c r="O148" s="17">
        <f t="shared" ca="1" si="34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35">+H148/H133</f>
        <v>7.570900000000004E-2</v>
      </c>
      <c r="I149" s="76">
        <f t="shared" si="35"/>
        <v>7.5676383561643787E-2</v>
      </c>
      <c r="J149" s="167">
        <f t="shared" si="35"/>
        <v>7.5643767123287659E-2</v>
      </c>
      <c r="K149" s="76">
        <f t="shared" ca="1" si="35"/>
        <v>7.56111506849316E-2</v>
      </c>
      <c r="L149" s="76">
        <f t="shared" ca="1" si="35"/>
        <v>7.5578534246575249E-2</v>
      </c>
      <c r="M149" s="76">
        <f t="shared" ca="1" si="35"/>
        <v>7.554591780821919E-2</v>
      </c>
      <c r="N149" s="76">
        <f t="shared" ca="1" si="35"/>
        <v>7.5513301369862992E-2</v>
      </c>
      <c r="O149" s="76">
        <f t="shared" ca="1" si="35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191.19683918614589</v>
      </c>
      <c r="L155" s="160">
        <f ca="1">+L73</f>
        <v>210.71549964179027</v>
      </c>
      <c r="M155" s="160">
        <f ca="1">+M73</f>
        <v>232.56978295215879</v>
      </c>
      <c r="N155" s="160">
        <f ca="1">+N73</f>
        <v>257.0788020759926</v>
      </c>
      <c r="O155" s="160">
        <f ca="1">+O73</f>
        <v>284.60992644774922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 ca="1">-K257</f>
        <v>19.962831617203911</v>
      </c>
      <c r="L156" s="137">
        <f ca="1">-L257</f>
        <v>22.254860432512512</v>
      </c>
      <c r="M156" s="137">
        <f ca="1">-M257</f>
        <v>24.836026834461958</v>
      </c>
      <c r="N156" s="137">
        <f ca="1">-N257</f>
        <v>27.747836877123014</v>
      </c>
      <c r="O156" s="137">
        <f ca="1"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 ca="1">+K269</f>
        <v>11.111880686976447</v>
      </c>
      <c r="L157" s="137">
        <f ca="1">+L269</f>
        <v>11.945271738499681</v>
      </c>
      <c r="M157" s="137">
        <f ca="1">+M269</f>
        <v>12.871030298233407</v>
      </c>
      <c r="N157" s="137">
        <f ca="1">+N269</f>
        <v>13.900712722092081</v>
      </c>
      <c r="O157" s="137">
        <f ca="1"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ca="1" si="36">+(J104-K104)</f>
        <v>-8.2159440119340701</v>
      </c>
      <c r="L160" s="137">
        <f t="shared" ca="1" si="36"/>
        <v>-9.1154482270337525</v>
      </c>
      <c r="M160" s="137">
        <f t="shared" ca="1" si="36"/>
        <v>-10.125743738863349</v>
      </c>
      <c r="N160" s="137">
        <f t="shared" ca="1" si="36"/>
        <v>-11.262440132774429</v>
      </c>
      <c r="O160" s="137">
        <f t="shared" ca="1" si="3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ca="1" si="36"/>
        <v>-10.564117472227679</v>
      </c>
      <c r="L161" s="137">
        <f t="shared" ca="1" si="36"/>
        <v>-11.696740599413573</v>
      </c>
      <c r="M161" s="137">
        <f t="shared" ca="1" si="36"/>
        <v>-12.965045834826583</v>
      </c>
      <c r="N161" s="137">
        <f t="shared" ca="1" si="36"/>
        <v>-14.387767269619332</v>
      </c>
      <c r="O161" s="137">
        <f t="shared" ca="1" si="3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ca="1" si="36"/>
        <v>-2.598976955775143</v>
      </c>
      <c r="L162" s="137">
        <f t="shared" ca="1" si="36"/>
        <v>-2.8835201224850167</v>
      </c>
      <c r="M162" s="137">
        <f t="shared" ca="1" si="36"/>
        <v>-3.2031102693937683</v>
      </c>
      <c r="N162" s="137">
        <f t="shared" ca="1" si="36"/>
        <v>-3.5626852286676467</v>
      </c>
      <c r="O162" s="137">
        <f t="shared" ca="1" si="3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 ca="1">+(J111-K111)</f>
        <v>-3.9984260858079139</v>
      </c>
      <c r="L163" s="137">
        <f ca="1">+(K111-L111)</f>
        <v>-4.436184803823096</v>
      </c>
      <c r="M163" s="137">
        <f ca="1">+(L111-M111)</f>
        <v>-4.9278619529134957</v>
      </c>
      <c r="N163" s="137">
        <f ca="1">+(M111-N111)</f>
        <v>-5.481054197950229</v>
      </c>
      <c r="O163" s="137">
        <f ca="1"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ca="1" si="37">+K114-J114</f>
        <v>4.3414181392716529</v>
      </c>
      <c r="L164" s="137">
        <f t="shared" ca="1" si="37"/>
        <v>4.8068796983891389</v>
      </c>
      <c r="M164" s="137">
        <f t="shared" ca="1" si="37"/>
        <v>5.3281010280109342</v>
      </c>
      <c r="N164" s="137">
        <f t="shared" ca="1" si="37"/>
        <v>5.9127810697065684</v>
      </c>
      <c r="O164" s="137">
        <f t="shared" ca="1" si="3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ca="1" si="37"/>
        <v>4.5264182504388515</v>
      </c>
      <c r="L165" s="137">
        <f t="shared" ca="1" si="37"/>
        <v>5.0098204671641327</v>
      </c>
      <c r="M165" s="137">
        <f t="shared" ca="1" si="37"/>
        <v>5.5508231854061449</v>
      </c>
      <c r="N165" s="137">
        <f t="shared" ca="1" si="37"/>
        <v>6.1573477727998238</v>
      </c>
      <c r="O165" s="137">
        <f t="shared" ca="1" si="3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ca="1" si="37"/>
        <v>4.9980326072598871</v>
      </c>
      <c r="L166" s="137">
        <f t="shared" ca="1" si="37"/>
        <v>5.5452310047788842</v>
      </c>
      <c r="M166" s="137">
        <f t="shared" ca="1" si="37"/>
        <v>6.1598274411418572</v>
      </c>
      <c r="N166" s="137">
        <f t="shared" ca="1" si="37"/>
        <v>6.8513177474377756</v>
      </c>
      <c r="O166" s="137">
        <f t="shared" ca="1" si="3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 ca="1">+K119-J119</f>
        <v>0.99960652145197848</v>
      </c>
      <c r="L167" s="140">
        <f ca="1">+L119-K119</f>
        <v>1.109046200955774</v>
      </c>
      <c r="M167" s="140">
        <f ca="1">+M119-L119</f>
        <v>1.2319654882283739</v>
      </c>
      <c r="N167" s="140">
        <f ca="1">+N119-M119</f>
        <v>1.3702635494875572</v>
      </c>
      <c r="O167" s="140">
        <f ca="1"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 ca="1">+SUM(K160:K167)</f>
        <v>-10.511989007322436</v>
      </c>
      <c r="L168" s="147">
        <f ca="1">+SUM(L160:L167)</f>
        <v>-11.660916381467509</v>
      </c>
      <c r="M168" s="147">
        <f ca="1">+SUM(M160:M167)</f>
        <v>-12.951044653209886</v>
      </c>
      <c r="N168" s="147">
        <f ca="1">+SUM(N160:N167)</f>
        <v>-14.402236689579912</v>
      </c>
      <c r="O168" s="147">
        <f ca="1"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211.7595624830038</v>
      </c>
      <c r="L170" s="155">
        <f ca="1">+SUM(L155:L157,L168)</f>
        <v>233.25471543133497</v>
      </c>
      <c r="M170" s="155">
        <f ca="1">+SUM(M155:M157,M168)</f>
        <v>257.32579543164428</v>
      </c>
      <c r="N170" s="155">
        <f ca="1">+SUM(N155:N157,N168)</f>
        <v>284.32511498562775</v>
      </c>
      <c r="O170" s="155">
        <f ca="1">+SUM(O155:O157,O168)</f>
        <v>314.65831692820041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 ca="1">-K256</f>
        <v>-21.441559885144944</v>
      </c>
      <c r="L173" s="160">
        <f ca="1">-L256</f>
        <v>-23.84449332054912</v>
      </c>
      <c r="M173" s="160">
        <f ca="1">-M256</f>
        <v>-26.548856271321402</v>
      </c>
      <c r="N173" s="160">
        <f ca="1">-N256</f>
        <v>-29.597692668931213</v>
      </c>
      <c r="O173" s="160">
        <f ca="1"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 ca="1">SUM(K173)</f>
        <v>-21.441559885144944</v>
      </c>
      <c r="L174" s="155">
        <f ca="1">SUM(L173)</f>
        <v>-23.84449332054912</v>
      </c>
      <c r="M174" s="155">
        <f ca="1">SUM(M173)</f>
        <v>-26.548856271321402</v>
      </c>
      <c r="N174" s="155">
        <f ca="1">SUM(N173)</f>
        <v>-29.597692668931213</v>
      </c>
      <c r="O174" s="155">
        <f ca="1"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38">+L192</f>
        <v>0</v>
      </c>
      <c r="M177" s="160">
        <f t="shared" si="38"/>
        <v>0</v>
      </c>
      <c r="N177" s="160">
        <f t="shared" si="38"/>
        <v>0</v>
      </c>
      <c r="O177" s="160">
        <f t="shared" si="38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39">+L210</f>
        <v>0</v>
      </c>
      <c r="M178" s="136">
        <f t="shared" ca="1" si="39"/>
        <v>0</v>
      </c>
      <c r="N178" s="136">
        <f t="shared" ca="1" si="39"/>
        <v>0</v>
      </c>
      <c r="O178" s="136">
        <f t="shared" ca="1" si="39"/>
        <v>0</v>
      </c>
    </row>
    <row r="179" spans="1:20" s="93" customFormat="1" ht="12.95" customHeight="1" x14ac:dyDescent="0.2">
      <c r="B179" s="93" t="s">
        <v>112</v>
      </c>
      <c r="K179" s="136">
        <f t="shared" ref="K179:O181" si="40">+K198</f>
        <v>0</v>
      </c>
      <c r="L179" s="136">
        <f t="shared" si="40"/>
        <v>0</v>
      </c>
      <c r="M179" s="136">
        <f t="shared" si="40"/>
        <v>0</v>
      </c>
      <c r="N179" s="136">
        <f t="shared" si="40"/>
        <v>0</v>
      </c>
      <c r="O179" s="136">
        <f t="shared" si="40"/>
        <v>0</v>
      </c>
    </row>
    <row r="180" spans="1:20" s="93" customFormat="1" ht="12.95" customHeight="1" x14ac:dyDescent="0.2">
      <c r="B180" s="93" t="s">
        <v>113</v>
      </c>
      <c r="K180" s="136">
        <f t="shared" si="40"/>
        <v>-5</v>
      </c>
      <c r="L180" s="136">
        <f t="shared" si="40"/>
        <v>-5</v>
      </c>
      <c r="M180" s="136">
        <f t="shared" si="40"/>
        <v>-5</v>
      </c>
      <c r="N180" s="136">
        <f t="shared" si="40"/>
        <v>-5</v>
      </c>
      <c r="O180" s="136">
        <f t="shared" si="4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40"/>
        <v>-9.5598419593057695</v>
      </c>
      <c r="L181" s="136">
        <f t="shared" ca="1" si="40"/>
        <v>-10.535774982080703</v>
      </c>
      <c r="M181" s="136">
        <f t="shared" ca="1" si="40"/>
        <v>-11.628489147583958</v>
      </c>
      <c r="N181" s="136">
        <f t="shared" ca="1" si="40"/>
        <v>-12.853940103758731</v>
      </c>
      <c r="O181" s="136">
        <f t="shared" ca="1" si="40"/>
        <v>-14.230496322343065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-14.55984195930577</v>
      </c>
      <c r="L182" s="257">
        <f ca="1">+SUM(L177:L181)</f>
        <v>-15.535774982080703</v>
      </c>
      <c r="M182" s="257">
        <f ca="1">+SUM(M177:M181)</f>
        <v>-16.628489147583956</v>
      </c>
      <c r="N182" s="257">
        <f ca="1">+SUM(N177:N181)</f>
        <v>-17.853940103758731</v>
      </c>
      <c r="O182" s="257">
        <f ca="1">+SUM(O177:O181)</f>
        <v>-19.230496322343065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175.75816063855308</v>
      </c>
      <c r="L184" s="155">
        <f ca="1">+L170+L174+L182</f>
        <v>193.87444712870516</v>
      </c>
      <c r="M184" s="155">
        <f ca="1">+M170+M174+M182</f>
        <v>214.14845001273892</v>
      </c>
      <c r="N184" s="155">
        <f ca="1">+N170+N174+N182</f>
        <v>236.8734822129378</v>
      </c>
      <c r="O184" s="155">
        <f ca="1">+O170+O174+O182</f>
        <v>262.3870838444231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326</v>
      </c>
    </row>
    <row r="195" spans="2:15" ht="12.95" customHeight="1" x14ac:dyDescent="0.2">
      <c r="B195" s="1" t="s">
        <v>87</v>
      </c>
      <c r="K195" s="160">
        <f ca="1">+K170+K174</f>
        <v>190.31800259785885</v>
      </c>
      <c r="L195" s="160">
        <f ca="1">+L170+L174</f>
        <v>209.41022211078587</v>
      </c>
      <c r="M195" s="160">
        <f ca="1">+M170+M174</f>
        <v>230.77693916032288</v>
      </c>
      <c r="N195" s="160">
        <f ca="1">+N170+N174</f>
        <v>254.72742231669653</v>
      </c>
      <c r="O195" s="160">
        <f ca="1">+O170+O174</f>
        <v>281.61758016676617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190.31800259785885</v>
      </c>
      <c r="L197" s="155">
        <f ca="1">SUM(L195:L196)</f>
        <v>209.41022211078587</v>
      </c>
      <c r="M197" s="155">
        <f ca="1">SUM(M195:M196)</f>
        <v>230.77693916032288</v>
      </c>
      <c r="N197" s="155">
        <f ca="1">SUM(N195:N196)</f>
        <v>254.72742231669653</v>
      </c>
      <c r="O197" s="155">
        <f ca="1">SUM(O195:O196)</f>
        <v>281.61758016676617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-9.5598419593057695</v>
      </c>
      <c r="L200" s="172">
        <f ca="1">+L287</f>
        <v>-10.535774982080703</v>
      </c>
      <c r="M200" s="172">
        <f ca="1">+M287</f>
        <v>-11.628489147583958</v>
      </c>
      <c r="N200" s="172">
        <f ca="1">+N287</f>
        <v>-12.853940103758731</v>
      </c>
      <c r="O200" s="172">
        <f ca="1">+O287</f>
        <v>-14.230496322343065</v>
      </c>
    </row>
    <row r="201" spans="2:15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175.75816063855308</v>
      </c>
      <c r="L201" s="94">
        <f ca="1">+SUM(L197:L200)</f>
        <v>193.87444712870516</v>
      </c>
      <c r="M201" s="94">
        <f ca="1">+SUM(M197:M200)</f>
        <v>214.14845001273892</v>
      </c>
      <c r="N201" s="94">
        <f ca="1">+SUM(N197:N200)</f>
        <v>236.8734822129378</v>
      </c>
      <c r="O201" s="94">
        <f ca="1">+SUM(O197:O200)</f>
        <v>262.3870838444231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889.03639935812873</v>
      </c>
      <c r="M203" s="160">
        <f ca="1">+L103</f>
        <v>1082.9108464859657</v>
      </c>
      <c r="N203" s="160">
        <f ca="1">+M103</f>
        <v>1297.0592964958641</v>
      </c>
      <c r="O203" s="160">
        <f ca="1">+N103</f>
        <v>1533.9327787022996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325</v>
      </c>
      <c r="H205" s="23"/>
      <c r="I205" s="23"/>
      <c r="J205" s="23"/>
      <c r="K205" s="137">
        <f ca="1">+K201</f>
        <v>175.75816063855308</v>
      </c>
      <c r="L205" s="137">
        <f ca="1">+L201</f>
        <v>193.87444712870516</v>
      </c>
      <c r="M205" s="137">
        <f ca="1">+M201</f>
        <v>214.14845001273892</v>
      </c>
      <c r="N205" s="137">
        <f ca="1">+N201</f>
        <v>236.8734822129378</v>
      </c>
      <c r="O205" s="137">
        <f ca="1">+O201</f>
        <v>262.3870838444231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884.03639935826232</v>
      </c>
      <c r="L206" s="155">
        <f ca="1">SUM(L203:L205)</f>
        <v>1077.9108464868339</v>
      </c>
      <c r="M206" s="155">
        <f ca="1">SUM(M203:M205)</f>
        <v>1292.0592964987047</v>
      </c>
      <c r="N206" s="155">
        <f ca="1">SUM(N203:N205)</f>
        <v>1528.9327787088018</v>
      </c>
      <c r="O206" s="155">
        <f ca="1">SUM(O203:O205)</f>
        <v>1791.3198625467228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hidden="1" customHeight="1" outlineLevel="1" x14ac:dyDescent="0.2"/>
    <row r="225" spans="1:15" ht="12.95" hidden="1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6" spans="1:15" ht="12.95" customHeight="1" collapsed="1" x14ac:dyDescent="0.2"/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889.03639935812873</v>
      </c>
      <c r="M240" s="170">
        <f ca="1">+L103</f>
        <v>1082.9108464859657</v>
      </c>
      <c r="N240" s="170">
        <f ca="1">+M103</f>
        <v>1297.0592964958641</v>
      </c>
      <c r="O240" s="170">
        <f ca="1">+N103</f>
        <v>1533.9327787022996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889.03639935812873</v>
      </c>
      <c r="L241" s="155">
        <f ca="1">+L103</f>
        <v>1082.9108464859657</v>
      </c>
      <c r="M241" s="155">
        <f ca="1">+M103</f>
        <v>1297.0592964958641</v>
      </c>
      <c r="N241" s="155">
        <f ca="1">+N103</f>
        <v>1533.9327787022996</v>
      </c>
      <c r="O241" s="155">
        <f ca="1">+O103</f>
        <v>1796.3198625346904</v>
      </c>
    </row>
    <row r="243" spans="1:15" ht="12.95" customHeight="1" x14ac:dyDescent="0.2">
      <c r="B243" s="1" t="s">
        <v>96</v>
      </c>
      <c r="K243" s="137">
        <f ca="1">+AVERAGE(K240,K241)</f>
        <v>801.15731903891901</v>
      </c>
      <c r="L243" s="137">
        <f ca="1">+AVERAGE(L240,L241)</f>
        <v>985.9736229220473</v>
      </c>
      <c r="M243" s="137">
        <f ca="1">+AVERAGE(M240,M241)</f>
        <v>1189.9850714909148</v>
      </c>
      <c r="N243" s="137">
        <f ca="1">+AVERAGE(N240,N241)</f>
        <v>1415.4960375990818</v>
      </c>
      <c r="O243" s="137">
        <f ca="1">+AVERAGE(O240,O241)</f>
        <v>1665.1263206184949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8.0115731903891909</v>
      </c>
      <c r="L244" s="170">
        <f ca="1">+IF($E$5=1,L243,0)*$I$244</f>
        <v>9.8597362292204735</v>
      </c>
      <c r="M244" s="170">
        <f ca="1">+IF($E$5=1,M243,0)*$I$244</f>
        <v>11.899850714909148</v>
      </c>
      <c r="N244" s="170">
        <f ca="1">+IF($E$5=1,N243,0)*$I$244</f>
        <v>14.154960375990818</v>
      </c>
      <c r="O244" s="170">
        <f ca="1">+IF($E$5=1,O243,0)*$I$244</f>
        <v>16.65126320618495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hidden="1" customHeight="1" outlineLevel="1" x14ac:dyDescent="0.2"/>
    <row r="248" spans="1:15" ht="12.95" hidden="1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hidden="1" customHeight="1" outlineLevel="1" x14ac:dyDescent="0.2">
      <c r="B249" s="1" t="str">
        <f>+B133</f>
        <v>Revenue</v>
      </c>
      <c r="H249" s="137">
        <f t="shared" ref="H249:O251" si="41">+H133</f>
        <v>1209.9228781500001</v>
      </c>
      <c r="I249" s="137">
        <f t="shared" si="41"/>
        <v>1288.5678652297499</v>
      </c>
      <c r="J249" s="136">
        <f t="shared" si="41"/>
        <v>1378.7676157958326</v>
      </c>
      <c r="K249" s="136">
        <f t="shared" ca="1" si="41"/>
        <v>1478.7282679410305</v>
      </c>
      <c r="L249" s="137">
        <f t="shared" ca="1" si="41"/>
        <v>1589.6328880366079</v>
      </c>
      <c r="M249" s="137">
        <f t="shared" ca="1" si="41"/>
        <v>1712.8294368594452</v>
      </c>
      <c r="N249" s="137">
        <f t="shared" ca="1" si="41"/>
        <v>1849.8557918082008</v>
      </c>
      <c r="O249" s="137">
        <f t="shared" ca="1" si="41"/>
        <v>2002.4688946323774</v>
      </c>
    </row>
    <row r="250" spans="1:15" ht="12.95" hidden="1" customHeight="1" outlineLevel="1" x14ac:dyDescent="0.2">
      <c r="B250" s="1" t="str">
        <f>+B134</f>
        <v>Cost of Goods Sold (Cost of Sales)</v>
      </c>
      <c r="H250" s="137">
        <f t="shared" si="41"/>
        <v>679.97665752030014</v>
      </c>
      <c r="I250" s="137">
        <f t="shared" si="41"/>
        <v>721.59800452866</v>
      </c>
      <c r="J250" s="136">
        <f t="shared" si="41"/>
        <v>769.35232961407462</v>
      </c>
      <c r="K250" s="136">
        <f t="shared" ca="1" si="41"/>
        <v>822.17291697521307</v>
      </c>
      <c r="L250" s="137">
        <f t="shared" ca="1" si="41"/>
        <v>880.65661997228085</v>
      </c>
      <c r="M250" s="137">
        <f t="shared" ca="1" si="41"/>
        <v>945.48184914641388</v>
      </c>
      <c r="N250" s="137">
        <f t="shared" ca="1" si="41"/>
        <v>1017.4206854945105</v>
      </c>
      <c r="O250" s="137">
        <f t="shared" ca="1" si="41"/>
        <v>1097.3529542585429</v>
      </c>
    </row>
    <row r="251" spans="1:15" ht="12.95" hidden="1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41"/>
        <v>335.75359868662508</v>
      </c>
      <c r="I251" s="140">
        <f t="shared" si="41"/>
        <v>355.64473080341099</v>
      </c>
      <c r="J251" s="140">
        <f t="shared" si="41"/>
        <v>378.47171053595611</v>
      </c>
      <c r="K251" s="140">
        <f t="shared" ca="1" si="41"/>
        <v>403.69281714790134</v>
      </c>
      <c r="L251" s="140">
        <f t="shared" ca="1" si="41"/>
        <v>431.58532910193907</v>
      </c>
      <c r="M251" s="140">
        <f t="shared" ca="1" si="41"/>
        <v>462.46394795205021</v>
      </c>
      <c r="N251" s="140">
        <f t="shared" ca="1" si="41"/>
        <v>496.68628010050196</v>
      </c>
      <c r="O251" s="140">
        <f t="shared" ca="1" si="41"/>
        <v>534.65919486684481</v>
      </c>
    </row>
    <row r="252" spans="1:15" ht="12.95" customHeight="1" collapsed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 ca="1">+K258</f>
        <v>7.5793538046166198</v>
      </c>
      <c r="M255" s="178">
        <f ca="1">+L258</f>
        <v>9.1689866926532275</v>
      </c>
      <c r="N255" s="178">
        <f ca="1">+M258</f>
        <v>10.881816129512675</v>
      </c>
      <c r="O255" s="178">
        <f ca="1"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 ca="1">+K259*K$249</f>
        <v>21.441559885144944</v>
      </c>
      <c r="L256" s="179">
        <f ca="1">+L259*L$249</f>
        <v>23.84449332054912</v>
      </c>
      <c r="M256" s="179">
        <f ca="1">+M259*M$249</f>
        <v>26.548856271321402</v>
      </c>
      <c r="N256" s="179">
        <f ca="1">+N259*N$249</f>
        <v>29.597692668931213</v>
      </c>
      <c r="O256" s="179">
        <f ca="1"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 ca="1">+K260*-K$249</f>
        <v>-19.962831617203911</v>
      </c>
      <c r="L257" s="180">
        <f ca="1">+L260*-L$249</f>
        <v>-22.254860432512512</v>
      </c>
      <c r="M257" s="180">
        <f ca="1">+M260*-M$249</f>
        <v>-24.836026834461958</v>
      </c>
      <c r="N257" s="180">
        <f ca="1">+N260*-N$249</f>
        <v>-27.747836877123014</v>
      </c>
      <c r="O257" s="180">
        <f ca="1"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 ca="1">SUM(K255:K257)</f>
        <v>7.5793538046166198</v>
      </c>
      <c r="L258" s="181">
        <f ca="1">SUM(L255:L257)</f>
        <v>9.1689866926532275</v>
      </c>
      <c r="M258" s="181">
        <f ca="1">SUM(M255:M257)</f>
        <v>10.881816129512675</v>
      </c>
      <c r="N258" s="181">
        <f ca="1">SUM(N255:N257)</f>
        <v>12.731671921320874</v>
      </c>
      <c r="O258" s="181">
        <f ca="1"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 ca="1">+K270</f>
        <v>166.95493687866619</v>
      </c>
      <c r="M267" s="178">
        <f ca="1">+L270</f>
        <v>178.90020861716587</v>
      </c>
      <c r="N267" s="178">
        <f ca="1">+M270</f>
        <v>191.77123891539929</v>
      </c>
      <c r="O267" s="178">
        <f ca="1"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 ca="1">+K271*K249</f>
        <v>11.111880686976447</v>
      </c>
      <c r="L269" s="212">
        <f ca="1">+L271*L249</f>
        <v>11.945271738499681</v>
      </c>
      <c r="M269" s="212">
        <f ca="1">+M271*M249</f>
        <v>12.871030298233407</v>
      </c>
      <c r="N269" s="212">
        <f ca="1">+N271*N249</f>
        <v>13.900712722092081</v>
      </c>
      <c r="O269" s="212">
        <f ca="1"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 ca="1">SUM(K267:K269)</f>
        <v>166.95493687866619</v>
      </c>
      <c r="L270" s="181">
        <f ca="1">SUM(L267:L269)</f>
        <v>178.90020861716587</v>
      </c>
      <c r="M270" s="181">
        <f ca="1">SUM(M267:M269)</f>
        <v>191.77123891539929</v>
      </c>
      <c r="N270" s="181">
        <f ca="1">SUM(N267:N269)</f>
        <v>205.67195163749136</v>
      </c>
      <c r="O270" s="181">
        <f ca="1"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875.83101021177015</v>
      </c>
      <c r="M285" s="178">
        <f ca="1">+L288</f>
        <v>1076.0107348713034</v>
      </c>
      <c r="N285" s="178">
        <f ca="1">+M288</f>
        <v>1296.9520286773572</v>
      </c>
      <c r="O285" s="178">
        <f ca="1">+N288</f>
        <v>1541.1768906619182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42">+H73</f>
        <v>144.38336269074406</v>
      </c>
      <c r="I286" s="135">
        <f t="shared" si="42"/>
        <v>158.09058392211767</v>
      </c>
      <c r="J286" s="229">
        <f t="shared" si="42"/>
        <v>173.73619092811771</v>
      </c>
      <c r="K286" s="179">
        <f t="shared" ca="1" si="42"/>
        <v>191.19683918614589</v>
      </c>
      <c r="L286" s="179">
        <f t="shared" ca="1" si="42"/>
        <v>210.71549964179027</v>
      </c>
      <c r="M286" s="179">
        <f t="shared" ca="1" si="42"/>
        <v>232.56978295215879</v>
      </c>
      <c r="N286" s="179">
        <f t="shared" ca="1" si="42"/>
        <v>257.0788020759926</v>
      </c>
      <c r="O286" s="179">
        <f t="shared" ca="1" si="42"/>
        <v>284.60992644774922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-9.5598419593072954</v>
      </c>
      <c r="L287" s="194">
        <f ca="1">-L289*L286</f>
        <v>-10.535774982089514</v>
      </c>
      <c r="M287" s="194">
        <f ca="1">-M289*M286</f>
        <v>-11.62848914760794</v>
      </c>
      <c r="N287" s="194">
        <f ca="1">-N289*N286</f>
        <v>-12.85394010379963</v>
      </c>
      <c r="O287" s="194">
        <f ca="1">-O289*O286</f>
        <v>-14.230496322387461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875.83101021179925</v>
      </c>
      <c r="L288" s="181">
        <f ca="1">SUM(L285:L287)</f>
        <v>1076.0107348714707</v>
      </c>
      <c r="M288" s="181">
        <f ca="1">SUM(M285:M287)</f>
        <v>1296.9520286758543</v>
      </c>
      <c r="N288" s="181">
        <f ca="1">SUM(N285:N287)</f>
        <v>1541.1768906495502</v>
      </c>
      <c r="O288" s="181">
        <f ca="1">SUM(O285:O287)</f>
        <v>1811.5563207872801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>
        <f t="shared" ref="H295:O295" si="43">+H73</f>
        <v>144.38336269074406</v>
      </c>
      <c r="I295" s="17">
        <f t="shared" si="43"/>
        <v>158.09058392211767</v>
      </c>
      <c r="J295" s="213">
        <f t="shared" si="43"/>
        <v>173.73619092811771</v>
      </c>
      <c r="K295" s="17">
        <f t="shared" ca="1" si="43"/>
        <v>191.19683918614589</v>
      </c>
      <c r="L295" s="17">
        <f t="shared" ca="1" si="43"/>
        <v>210.71549964179027</v>
      </c>
      <c r="M295" s="17">
        <f t="shared" ca="1" si="43"/>
        <v>232.56978295215879</v>
      </c>
      <c r="N295" s="17">
        <f t="shared" ca="1" si="43"/>
        <v>257.0788020759926</v>
      </c>
      <c r="O295" s="17">
        <f t="shared" ca="1" si="43"/>
        <v>284.60992644774922</v>
      </c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>
        <f>+H75</f>
        <v>100.91013022450269</v>
      </c>
      <c r="I298" s="135">
        <f>+I75</f>
        <v>101.22532805211092</v>
      </c>
      <c r="J298" s="236">
        <f>+J75</f>
        <v>101.5551580431645</v>
      </c>
      <c r="K298" s="23">
        <f ca="1">+K317</f>
        <v>101.89686926219814</v>
      </c>
      <c r="L298" s="23">
        <f ca="1">+L317</f>
        <v>102.25037131335471</v>
      </c>
      <c r="M298" s="23">
        <f ca="1">+M317</f>
        <v>102.61458004154703</v>
      </c>
      <c r="N298" s="23">
        <f ca="1">+N317</f>
        <v>102.9884647971969</v>
      </c>
      <c r="O298" s="23">
        <f ca="1">+O317</f>
        <v>103.37104759455143</v>
      </c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>
        <f>+H300-H298</f>
        <v>5</v>
      </c>
      <c r="I299" s="136">
        <f>+I300-I298</f>
        <v>5</v>
      </c>
      <c r="J299" s="237">
        <f>+J300-J298</f>
        <v>5</v>
      </c>
      <c r="K299" s="111">
        <f>+J299</f>
        <v>5</v>
      </c>
      <c r="L299" s="111">
        <f>+K299</f>
        <v>5</v>
      </c>
      <c r="M299" s="111">
        <f>+L299</f>
        <v>5</v>
      </c>
      <c r="N299" s="111">
        <f>+M299</f>
        <v>5</v>
      </c>
      <c r="O299" s="111">
        <f>+N299</f>
        <v>5</v>
      </c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>
        <f>+H78</f>
        <v>105.91013022450269</v>
      </c>
      <c r="I300" s="238">
        <f>+I78</f>
        <v>106.22532805211092</v>
      </c>
      <c r="J300" s="239">
        <f>+J78</f>
        <v>106.5551580431645</v>
      </c>
      <c r="K300" s="187">
        <f ca="1">SUM(K298:K299)</f>
        <v>106.89686926219814</v>
      </c>
      <c r="L300" s="187">
        <f ca="1">SUM(L298:L299)</f>
        <v>107.25037131335471</v>
      </c>
      <c r="M300" s="187">
        <f ca="1">SUM(M298:M299)</f>
        <v>107.61458004154703</v>
      </c>
      <c r="N300" s="187">
        <f ca="1">SUM(N298:N299)</f>
        <v>107.9884647971969</v>
      </c>
      <c r="O300" s="187">
        <f ca="1">SUM(O298:O299)</f>
        <v>108.37104759455143</v>
      </c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>
        <f ca="1">+K269+K268</f>
        <v>11.111880686976447</v>
      </c>
      <c r="L302" s="111">
        <f ca="1">+L269+L268</f>
        <v>11.945271738499681</v>
      </c>
      <c r="M302" s="111">
        <f ca="1">+M269+M268</f>
        <v>12.871030298233407</v>
      </c>
      <c r="N302" s="111">
        <f ca="1">+N269+N268</f>
        <v>13.900712722092081</v>
      </c>
      <c r="O302" s="111">
        <f ca="1">+O269+O268</f>
        <v>15.047521521664677</v>
      </c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>
        <f>+K278</f>
        <v>-5</v>
      </c>
      <c r="L303" s="111">
        <f>+L278</f>
        <v>-5</v>
      </c>
      <c r="M303" s="111">
        <f>+M278</f>
        <v>-5</v>
      </c>
      <c r="N303" s="111">
        <f>+N278</f>
        <v>-5</v>
      </c>
      <c r="O303" s="111">
        <f>+O278</f>
        <v>-5</v>
      </c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>
        <f ca="1">SUM(K302:K303)</f>
        <v>6.1118806869764466</v>
      </c>
      <c r="L304" s="184">
        <f ca="1">SUM(L302:L303)</f>
        <v>6.9452717384996809</v>
      </c>
      <c r="M304" s="184">
        <f ca="1">SUM(M302:M303)</f>
        <v>7.8710302982334071</v>
      </c>
      <c r="N304" s="184">
        <f ca="1">SUM(N302:N303)</f>
        <v>8.9007127220920808</v>
      </c>
      <c r="O304" s="184">
        <f ca="1">SUM(O302:O303)</f>
        <v>10.047521521664677</v>
      </c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11">
        <f t="shared" ref="K306:O307" ca="1" si="44">+K302/K$312</f>
        <v>0.62125792203275587</v>
      </c>
      <c r="L306" s="111">
        <f t="shared" ca="1" si="44"/>
        <v>0.60799321036996257</v>
      </c>
      <c r="M306" s="111">
        <f t="shared" ca="1" si="44"/>
        <v>0.59556899132970686</v>
      </c>
      <c r="N306" s="111">
        <f t="shared" ca="1" si="44"/>
        <v>0.58391555167920139</v>
      </c>
      <c r="O306" s="111">
        <f t="shared" ca="1" si="44"/>
        <v>0.57296944968943608</v>
      </c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11">
        <f t="shared" si="44"/>
        <v>-0.27954670299911255</v>
      </c>
      <c r="L307" s="111">
        <f t="shared" si="44"/>
        <v>-0.25449115921339688</v>
      </c>
      <c r="M307" s="111">
        <f t="shared" si="44"/>
        <v>-0.23136026313738486</v>
      </c>
      <c r="N307" s="111">
        <f t="shared" si="44"/>
        <v>-0.210030796029328</v>
      </c>
      <c r="O307" s="111">
        <f t="shared" si="44"/>
        <v>-0.19038665233490545</v>
      </c>
      <c r="Q307"/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187">
        <f ca="1">SUM(K306:K307)</f>
        <v>0.34171121903364332</v>
      </c>
      <c r="L308" s="187">
        <f ca="1">SUM(L306:L307)</f>
        <v>0.35350205115656569</v>
      </c>
      <c r="M308" s="187">
        <f ca="1">SUM(M306:M307)</f>
        <v>0.36420872819232197</v>
      </c>
      <c r="N308" s="187">
        <f ca="1">SUM(N306:N307)</f>
        <v>0.37388475564987339</v>
      </c>
      <c r="O308" s="187">
        <f ca="1">SUM(O306:O307)</f>
        <v>0.3825827973545306</v>
      </c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1.7886098982236514</v>
      </c>
      <c r="L310" s="252">
        <v>1.9647047918892071</v>
      </c>
      <c r="M310" s="252">
        <v>2.1611317052448769</v>
      </c>
      <c r="N310" s="252">
        <v>2.3806032708183502</v>
      </c>
      <c r="O310" s="252">
        <v>2.6262345278305528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185">
        <f>+K311</f>
        <v>10</v>
      </c>
      <c r="M311" s="185">
        <f>+L311</f>
        <v>10</v>
      </c>
      <c r="N311" s="185">
        <f>+M311</f>
        <v>10</v>
      </c>
      <c r="O311" s="185">
        <f>+N311</f>
        <v>10</v>
      </c>
      <c r="Q311"/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186">
        <f>+K310*K311</f>
        <v>17.886098982236515</v>
      </c>
      <c r="L312" s="186">
        <f>+L310*L311</f>
        <v>19.647047918892071</v>
      </c>
      <c r="M312" s="186">
        <f>+M310*M311</f>
        <v>21.611317052448769</v>
      </c>
      <c r="N312" s="186">
        <f>+N310*N311</f>
        <v>23.806032708183501</v>
      </c>
      <c r="O312" s="186">
        <f>+O310*O311</f>
        <v>26.262345278305528</v>
      </c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>
        <f>+J298</f>
        <v>101.5551580431645</v>
      </c>
      <c r="L315" s="111">
        <f ca="1">+K317</f>
        <v>101.89686926219814</v>
      </c>
      <c r="M315" s="111">
        <f ca="1">+L317</f>
        <v>102.25037131335471</v>
      </c>
      <c r="N315" s="111">
        <f ca="1">+M317</f>
        <v>102.61458004154703</v>
      </c>
      <c r="O315" s="111">
        <f ca="1">+N317</f>
        <v>102.9884647971969</v>
      </c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>
        <f ca="1">+K308</f>
        <v>0.34171121903364332</v>
      </c>
      <c r="L316" s="77">
        <f ca="1">+L308</f>
        <v>0.35350205115656569</v>
      </c>
      <c r="M316" s="77">
        <f ca="1">+M308</f>
        <v>0.36420872819232197</v>
      </c>
      <c r="N316" s="77">
        <f ca="1">+N308</f>
        <v>0.37388475564987339</v>
      </c>
      <c r="O316" s="77">
        <f ca="1">+O308</f>
        <v>0.3825827973545306</v>
      </c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>
        <f ca="1">SUM(K315:K316)</f>
        <v>101.89686926219814</v>
      </c>
      <c r="L317" s="189">
        <f ca="1">SUM(L315:L316)</f>
        <v>102.25037131335471</v>
      </c>
      <c r="M317" s="189">
        <f ca="1">SUM(M315:M316)</f>
        <v>102.61458004154703</v>
      </c>
      <c r="N317" s="189">
        <f ca="1">SUM(N315:N316)</f>
        <v>102.9884647971969</v>
      </c>
      <c r="O317" s="189">
        <f ca="1">SUM(O315:O316)</f>
        <v>103.37104759455143</v>
      </c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B319" s="26" t="s">
        <v>311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30"/>
      <c r="Q319"/>
      <c r="R319"/>
      <c r="S319"/>
      <c r="T319"/>
    </row>
    <row r="320" spans="2:23" ht="12.95" customHeight="1" x14ac:dyDescent="0.2">
      <c r="H320" s="23"/>
      <c r="I320" s="23"/>
      <c r="J320" s="23"/>
      <c r="P320" s="93"/>
      <c r="Q320" s="93"/>
      <c r="R320" s="93"/>
    </row>
    <row r="321" spans="2:18" ht="12.95" customHeight="1" x14ac:dyDescent="0.2">
      <c r="B321" s="362" t="s">
        <v>360</v>
      </c>
      <c r="C321" s="363"/>
      <c r="D321" s="363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7"/>
      <c r="Q321" s="367"/>
      <c r="R321" s="93"/>
    </row>
    <row r="322" spans="2:18" ht="12.95" customHeight="1" x14ac:dyDescent="0.2">
      <c r="B322" s="81" t="s">
        <v>332</v>
      </c>
      <c r="C322" s="81"/>
      <c r="D322" s="81"/>
      <c r="E322" s="81"/>
      <c r="F322" s="81"/>
      <c r="G322" s="81"/>
      <c r="H322" s="81"/>
      <c r="I322" s="81"/>
      <c r="J322" s="81"/>
      <c r="K322" s="364">
        <v>8.2500000000000059E-2</v>
      </c>
      <c r="L322" s="364">
        <v>8.5000000000000062E-2</v>
      </c>
      <c r="M322" s="364">
        <v>8.7500000000000064E-2</v>
      </c>
      <c r="N322" s="364">
        <v>9.0000000000000066E-2</v>
      </c>
      <c r="O322" s="364">
        <v>9.2500000000000068E-2</v>
      </c>
      <c r="P322" s="93"/>
      <c r="Q322" s="93"/>
      <c r="R322" s="93"/>
    </row>
    <row r="323" spans="2:18" ht="12.95" customHeight="1" x14ac:dyDescent="0.2">
      <c r="B323" s="81" t="s">
        <v>104</v>
      </c>
      <c r="C323" s="81"/>
      <c r="D323" s="81"/>
      <c r="E323" s="81"/>
      <c r="F323" s="81"/>
      <c r="G323" s="81"/>
      <c r="H323" s="81"/>
      <c r="I323" s="81"/>
      <c r="J323" s="81"/>
      <c r="K323" s="364">
        <v>7.2500000000000064E-2</v>
      </c>
      <c r="L323" s="364">
        <v>7.5000000000000067E-2</v>
      </c>
      <c r="M323" s="364">
        <v>7.7500000000000069E-2</v>
      </c>
      <c r="N323" s="364">
        <v>8.0000000000000071E-2</v>
      </c>
      <c r="O323" s="364">
        <v>8.2500000000000073E-2</v>
      </c>
      <c r="P323" s="93"/>
      <c r="Q323" s="93"/>
      <c r="R323" s="93"/>
    </row>
    <row r="324" spans="2:18" ht="12.95" customHeight="1" x14ac:dyDescent="0.2">
      <c r="B324" s="363" t="s">
        <v>333</v>
      </c>
      <c r="C324" s="363"/>
      <c r="D324" s="363"/>
      <c r="E324" s="363"/>
      <c r="F324" s="363"/>
      <c r="G324" s="363"/>
      <c r="H324" s="363"/>
      <c r="I324" s="363"/>
      <c r="J324" s="363"/>
      <c r="K324" s="365">
        <v>6.2500000000000069E-2</v>
      </c>
      <c r="L324" s="365">
        <v>6.5000000000000072E-2</v>
      </c>
      <c r="M324" s="365">
        <v>6.7500000000000074E-2</v>
      </c>
      <c r="N324" s="365">
        <v>7.0000000000000076E-2</v>
      </c>
      <c r="O324" s="365">
        <v>7.2500000000000078E-2</v>
      </c>
      <c r="P324" s="93"/>
      <c r="Q324" s="93"/>
      <c r="R324" s="93"/>
    </row>
    <row r="325" spans="2:18" ht="12.95" customHeight="1" x14ac:dyDescent="0.2">
      <c r="B325" s="362" t="str">
        <f ca="1">+OFFSET(B321,$D$10,0)</f>
        <v>Mid (Base) Case</v>
      </c>
      <c r="C325" s="363"/>
      <c r="D325" s="363"/>
      <c r="E325" s="363"/>
      <c r="F325" s="363"/>
      <c r="G325" s="363"/>
      <c r="H325" s="363"/>
      <c r="I325" s="363"/>
      <c r="J325" s="363"/>
      <c r="K325" s="368">
        <f ca="1">+OFFSET(K321,$D$10,0)</f>
        <v>7.2500000000000064E-2</v>
      </c>
      <c r="L325" s="368">
        <f t="shared" ref="L325:O325" ca="1" si="45">+OFFSET(L321,$D$10,0)</f>
        <v>7.5000000000000067E-2</v>
      </c>
      <c r="M325" s="368">
        <f t="shared" ca="1" si="45"/>
        <v>7.7500000000000069E-2</v>
      </c>
      <c r="N325" s="368">
        <f t="shared" ca="1" si="45"/>
        <v>8.0000000000000071E-2</v>
      </c>
      <c r="O325" s="368">
        <f t="shared" ca="1" si="45"/>
        <v>8.2500000000000073E-2</v>
      </c>
      <c r="P325" s="93"/>
      <c r="Q325" s="93"/>
      <c r="R325" s="93"/>
    </row>
    <row r="326" spans="2:18" ht="12.95" customHeight="1" x14ac:dyDescent="0.2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8" ht="12.95" customHeight="1" x14ac:dyDescent="0.2">
      <c r="B327" s="362" t="s">
        <v>45</v>
      </c>
      <c r="C327" s="363"/>
      <c r="D327" s="363"/>
      <c r="E327" s="363"/>
      <c r="F327" s="363"/>
      <c r="G327" s="363"/>
      <c r="H327" s="363"/>
      <c r="I327" s="363"/>
      <c r="J327" s="363"/>
      <c r="K327" s="363"/>
      <c r="L327" s="363"/>
      <c r="M327" s="363"/>
      <c r="N327" s="363"/>
      <c r="O327" s="363"/>
    </row>
    <row r="328" spans="2:18" ht="12.95" customHeight="1" x14ac:dyDescent="0.2">
      <c r="B328" s="81" t="s">
        <v>332</v>
      </c>
      <c r="C328" s="81"/>
      <c r="D328" s="81"/>
      <c r="E328" s="81"/>
      <c r="F328" s="81"/>
      <c r="G328" s="81"/>
      <c r="H328" s="81"/>
      <c r="I328" s="81"/>
      <c r="J328" s="81"/>
      <c r="K328" s="364">
        <v>0.45150000000000001</v>
      </c>
      <c r="L328" s="364">
        <v>0.45350000000000001</v>
      </c>
      <c r="M328" s="364">
        <v>0.45550000000000002</v>
      </c>
      <c r="N328" s="364">
        <v>0.45750000000000002</v>
      </c>
      <c r="O328" s="364">
        <v>0.45950000000000002</v>
      </c>
    </row>
    <row r="329" spans="2:18" ht="12.95" customHeight="1" x14ac:dyDescent="0.2">
      <c r="B329" s="81" t="s">
        <v>104</v>
      </c>
      <c r="C329" s="81"/>
      <c r="D329" s="81"/>
      <c r="E329" s="81"/>
      <c r="F329" s="81"/>
      <c r="G329" s="81"/>
      <c r="H329" s="81"/>
      <c r="I329" s="81"/>
      <c r="J329" s="81"/>
      <c r="K329" s="364">
        <v>0.44400000000000001</v>
      </c>
      <c r="L329" s="364">
        <v>0.44600000000000001</v>
      </c>
      <c r="M329" s="364">
        <v>0.44800000000000001</v>
      </c>
      <c r="N329" s="364">
        <v>0.45</v>
      </c>
      <c r="O329" s="364">
        <v>0.45200000000000001</v>
      </c>
    </row>
    <row r="330" spans="2:18" ht="12.95" customHeight="1" x14ac:dyDescent="0.2">
      <c r="B330" s="363" t="s">
        <v>333</v>
      </c>
      <c r="C330" s="363"/>
      <c r="D330" s="363"/>
      <c r="E330" s="363"/>
      <c r="F330" s="363"/>
      <c r="G330" s="363"/>
      <c r="H330" s="363"/>
      <c r="I330" s="363"/>
      <c r="J330" s="363"/>
      <c r="K330" s="365">
        <v>0.4365</v>
      </c>
      <c r="L330" s="365">
        <v>0.4385</v>
      </c>
      <c r="M330" s="365">
        <v>0.4405</v>
      </c>
      <c r="N330" s="365">
        <v>0.4425</v>
      </c>
      <c r="O330" s="365">
        <v>0.44450000000000001</v>
      </c>
    </row>
    <row r="331" spans="2:18" ht="12.95" customHeight="1" x14ac:dyDescent="0.2">
      <c r="B331" s="362" t="str">
        <f ca="1">+OFFSET(B327,$D$10,0)</f>
        <v>Mid (Base) Case</v>
      </c>
      <c r="C331" s="363"/>
      <c r="D331" s="363"/>
      <c r="E331" s="363"/>
      <c r="F331" s="363"/>
      <c r="G331" s="363"/>
      <c r="H331" s="363"/>
      <c r="I331" s="363"/>
      <c r="J331" s="363"/>
      <c r="K331" s="368">
        <f ca="1">+OFFSET(K327,$D$10,0)</f>
        <v>0.44400000000000001</v>
      </c>
      <c r="L331" s="368">
        <f t="shared" ref="L331:O331" ca="1" si="46">+OFFSET(L327,$D$10,0)</f>
        <v>0.44600000000000001</v>
      </c>
      <c r="M331" s="368">
        <f t="shared" ca="1" si="46"/>
        <v>0.44800000000000001</v>
      </c>
      <c r="N331" s="368">
        <f t="shared" ca="1" si="46"/>
        <v>0.45</v>
      </c>
      <c r="O331" s="368">
        <f t="shared" ca="1" si="46"/>
        <v>0.45200000000000001</v>
      </c>
    </row>
    <row r="332" spans="2:18" ht="12.95" customHeight="1" x14ac:dyDescent="0.2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8" ht="12.95" customHeight="1" x14ac:dyDescent="0.2">
      <c r="B333" s="362" t="s">
        <v>361</v>
      </c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</row>
    <row r="334" spans="2:18" ht="12.95" customHeight="1" x14ac:dyDescent="0.2">
      <c r="B334" s="81" t="s">
        <v>332</v>
      </c>
      <c r="C334" s="81"/>
      <c r="D334" s="81"/>
      <c r="E334" s="81"/>
      <c r="F334" s="81"/>
      <c r="G334" s="81"/>
      <c r="H334" s="81"/>
      <c r="I334" s="81"/>
      <c r="J334" s="81"/>
      <c r="K334" s="364">
        <v>0.26800000000000002</v>
      </c>
      <c r="L334" s="364">
        <v>0.26650000000000001</v>
      </c>
      <c r="M334" s="364">
        <v>0.26500000000000001</v>
      </c>
      <c r="N334" s="364">
        <v>0.26350000000000001</v>
      </c>
      <c r="O334" s="364">
        <v>0.26200000000000001</v>
      </c>
    </row>
    <row r="335" spans="2:18" ht="12.95" customHeight="1" x14ac:dyDescent="0.2">
      <c r="B335" s="81" t="s">
        <v>104</v>
      </c>
      <c r="C335" s="81"/>
      <c r="D335" s="81"/>
      <c r="E335" s="81"/>
      <c r="F335" s="81"/>
      <c r="G335" s="81"/>
      <c r="H335" s="81"/>
      <c r="I335" s="81"/>
      <c r="J335" s="81"/>
      <c r="K335" s="364">
        <v>0.27300000000000002</v>
      </c>
      <c r="L335" s="364">
        <v>0.27150000000000002</v>
      </c>
      <c r="M335" s="364">
        <v>0.27</v>
      </c>
      <c r="N335" s="364">
        <v>0.26850000000000002</v>
      </c>
      <c r="O335" s="364">
        <v>0.26700000000000002</v>
      </c>
    </row>
    <row r="336" spans="2:18" ht="12.95" customHeight="1" x14ac:dyDescent="0.2">
      <c r="B336" s="363" t="s">
        <v>333</v>
      </c>
      <c r="C336" s="363"/>
      <c r="D336" s="363"/>
      <c r="E336" s="363"/>
      <c r="F336" s="363"/>
      <c r="G336" s="363"/>
      <c r="H336" s="363"/>
      <c r="I336" s="363"/>
      <c r="J336" s="363"/>
      <c r="K336" s="365">
        <v>0.27800000000000002</v>
      </c>
      <c r="L336" s="365">
        <v>0.27650000000000002</v>
      </c>
      <c r="M336" s="365">
        <v>0.27500000000000002</v>
      </c>
      <c r="N336" s="365">
        <v>0.27350000000000002</v>
      </c>
      <c r="O336" s="365">
        <v>0.27200000000000002</v>
      </c>
    </row>
    <row r="337" spans="2:17" ht="12.95" customHeight="1" x14ac:dyDescent="0.2">
      <c r="B337" s="362" t="str">
        <f ca="1">+OFFSET(B333,$D$10,0)</f>
        <v>Mid (Base) Case</v>
      </c>
      <c r="C337" s="363"/>
      <c r="D337" s="363"/>
      <c r="E337" s="363"/>
      <c r="F337" s="363"/>
      <c r="G337" s="363"/>
      <c r="H337" s="363"/>
      <c r="I337" s="363"/>
      <c r="J337" s="363"/>
      <c r="K337" s="368">
        <f ca="1">+OFFSET(K333,$D$10,0)</f>
        <v>0.27300000000000002</v>
      </c>
      <c r="L337" s="368">
        <f t="shared" ref="L337:O337" ca="1" si="47">+OFFSET(L333,$D$10,0)</f>
        <v>0.27150000000000002</v>
      </c>
      <c r="M337" s="368">
        <f t="shared" ca="1" si="47"/>
        <v>0.27</v>
      </c>
      <c r="N337" s="368">
        <f t="shared" ca="1" si="47"/>
        <v>0.26850000000000002</v>
      </c>
      <c r="O337" s="368">
        <f t="shared" ca="1" si="47"/>
        <v>0.26700000000000002</v>
      </c>
    </row>
    <row r="339" spans="2:17" ht="12.95" customHeight="1" x14ac:dyDescent="0.2">
      <c r="B339" s="26" t="s">
        <v>319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30"/>
    </row>
    <row r="341" spans="2:17" ht="12.95" customHeight="1" x14ac:dyDescent="0.2">
      <c r="B341" s="372" t="s">
        <v>363</v>
      </c>
      <c r="H341" s="255" t="s">
        <v>334</v>
      </c>
    </row>
    <row r="342" spans="2:17" ht="12.95" customHeight="1" x14ac:dyDescent="0.2">
      <c r="B342" s="374" t="s">
        <v>320</v>
      </c>
    </row>
    <row r="343" spans="2:17" ht="12.95" customHeight="1" x14ac:dyDescent="0.2">
      <c r="B343" s="374" t="s">
        <v>318</v>
      </c>
      <c r="C343" s="81"/>
      <c r="D343" s="81"/>
      <c r="E343" s="81"/>
      <c r="F343" s="81"/>
      <c r="G343" s="81"/>
      <c r="H343" s="81"/>
      <c r="I343" s="81"/>
      <c r="J343" s="373" t="s">
        <v>315</v>
      </c>
      <c r="K343" s="108"/>
      <c r="L343" s="108"/>
      <c r="M343" s="108"/>
      <c r="N343" s="108"/>
      <c r="O343" s="81"/>
      <c r="P343" s="81"/>
      <c r="Q343" s="81"/>
    </row>
    <row r="344" spans="2:17" ht="12.95" customHeight="1" x14ac:dyDescent="0.2">
      <c r="C344" s="81"/>
      <c r="D344" s="81"/>
      <c r="E344" s="81"/>
      <c r="F344" s="81"/>
      <c r="G344" s="81"/>
      <c r="H344" s="81"/>
      <c r="I344" s="386">
        <f ca="1">+K73</f>
        <v>191.19683918614589</v>
      </c>
      <c r="J344" s="391">
        <f>+K344-0.025</f>
        <v>0</v>
      </c>
      <c r="K344" s="391">
        <f>+L344-0.025</f>
        <v>2.5000000000000001E-2</v>
      </c>
      <c r="L344" s="392">
        <v>0.05</v>
      </c>
      <c r="M344" s="391">
        <f>+L344+0.025</f>
        <v>7.5000000000000011E-2</v>
      </c>
      <c r="N344" s="393">
        <f>+M344+0.025</f>
        <v>0.1</v>
      </c>
      <c r="O344" s="81"/>
      <c r="P344" s="81"/>
      <c r="Q344" s="81"/>
    </row>
    <row r="345" spans="2:17" ht="12.95" customHeight="1" x14ac:dyDescent="0.2">
      <c r="C345" s="81"/>
      <c r="D345" s="81"/>
      <c r="E345" s="81"/>
      <c r="F345" s="81"/>
      <c r="G345" s="81"/>
      <c r="H345" s="81"/>
      <c r="I345" s="394">
        <f>+I346-0.001</f>
        <v>0.442</v>
      </c>
      <c r="J345" s="396">
        <f t="dataTable" ref="J345:N349" dt2D="1" dtr="1" r1="K89" r2="K90" ca="1"/>
        <v>176.49159437993589</v>
      </c>
      <c r="K345" s="397">
        <v>180.80481866591452</v>
      </c>
      <c r="L345" s="397">
        <v>185.11804295180511</v>
      </c>
      <c r="M345" s="397">
        <v>189.43126723769566</v>
      </c>
      <c r="N345" s="398">
        <v>193.74449152358625</v>
      </c>
      <c r="O345" s="81"/>
      <c r="P345" s="81"/>
      <c r="Q345" s="81"/>
    </row>
    <row r="346" spans="2:17" ht="12.95" customHeight="1" x14ac:dyDescent="0.2">
      <c r="B346" s="81"/>
      <c r="C346" s="81"/>
      <c r="D346" s="81"/>
      <c r="E346" s="81"/>
      <c r="F346" s="81"/>
      <c r="G346" s="81"/>
      <c r="H346" s="383" t="s">
        <v>316</v>
      </c>
      <c r="I346" s="394">
        <f>+I347-0.001</f>
        <v>0.443</v>
      </c>
      <c r="J346" s="399">
        <v>177.51578756270385</v>
      </c>
      <c r="K346" s="398">
        <v>181.85461667826291</v>
      </c>
      <c r="L346" s="398">
        <v>186.19344579372296</v>
      </c>
      <c r="M346" s="398">
        <v>190.532274909183</v>
      </c>
      <c r="N346" s="398">
        <v>194.87110402464305</v>
      </c>
      <c r="O346" s="81"/>
      <c r="P346" s="81"/>
      <c r="Q346" s="81"/>
    </row>
    <row r="347" spans="2:17" ht="12.95" customHeight="1" x14ac:dyDescent="0.2">
      <c r="B347" s="81"/>
      <c r="C347" s="81"/>
      <c r="D347" s="81"/>
      <c r="E347" s="81"/>
      <c r="F347" s="81"/>
      <c r="G347" s="81"/>
      <c r="H347" s="383" t="s">
        <v>317</v>
      </c>
      <c r="I347" s="395">
        <v>0.44400000000000001</v>
      </c>
      <c r="J347" s="399">
        <v>178.5399807454821</v>
      </c>
      <c r="K347" s="398">
        <v>182.90441469061102</v>
      </c>
      <c r="L347" s="398">
        <v>187.26884863564055</v>
      </c>
      <c r="M347" s="398">
        <v>191.63328258067011</v>
      </c>
      <c r="N347" s="398">
        <v>195.99771652569959</v>
      </c>
      <c r="O347" s="81"/>
      <c r="P347" s="81"/>
      <c r="Q347" s="81"/>
    </row>
    <row r="348" spans="2:17" ht="12.95" customHeight="1" x14ac:dyDescent="0.2">
      <c r="B348" s="81"/>
      <c r="C348" s="81"/>
      <c r="D348" s="81"/>
      <c r="E348" s="81"/>
      <c r="F348" s="81"/>
      <c r="G348" s="81"/>
      <c r="H348" s="81"/>
      <c r="I348" s="394">
        <f>+I347+0.001</f>
        <v>0.44500000000000001</v>
      </c>
      <c r="J348" s="399">
        <v>179.56417392826049</v>
      </c>
      <c r="K348" s="398">
        <v>183.95421270295947</v>
      </c>
      <c r="L348" s="398">
        <v>188.34425147755843</v>
      </c>
      <c r="M348" s="398">
        <v>192.73429025215739</v>
      </c>
      <c r="N348" s="398">
        <v>197.12432902675641</v>
      </c>
      <c r="O348" s="81"/>
      <c r="P348" s="81"/>
      <c r="Q348" s="81"/>
    </row>
    <row r="349" spans="2:17" ht="12.95" customHeight="1" x14ac:dyDescent="0.2">
      <c r="B349" s="81"/>
      <c r="C349" s="81"/>
      <c r="D349" s="81"/>
      <c r="E349" s="81"/>
      <c r="F349" s="81"/>
      <c r="G349" s="81"/>
      <c r="H349" s="81"/>
      <c r="I349" s="394">
        <f>+I348+0.001</f>
        <v>0.44600000000000001</v>
      </c>
      <c r="J349" s="399">
        <v>180.58836711103874</v>
      </c>
      <c r="K349" s="398">
        <v>185.00401071530757</v>
      </c>
      <c r="L349" s="398">
        <v>189.41965431947602</v>
      </c>
      <c r="M349" s="398">
        <v>193.83529792364448</v>
      </c>
      <c r="N349" s="398">
        <v>198.25094152781293</v>
      </c>
      <c r="O349" s="81"/>
      <c r="P349" s="81"/>
      <c r="Q349" s="81"/>
    </row>
  </sheetData>
  <conditionalFormatting sqref="A247:A262 A264:A272 A309:A318 A328:A1048576 A274:A290 A1:A245 A292:A305">
    <cfRule type="expression" dxfId="42" priority="7">
      <formula>$D$18&gt;0</formula>
    </cfRule>
  </conditionalFormatting>
  <conditionalFormatting sqref="A246">
    <cfRule type="expression" dxfId="41" priority="6">
      <formula>$D$18&gt;0</formula>
    </cfRule>
  </conditionalFormatting>
  <conditionalFormatting sqref="A263">
    <cfRule type="expression" dxfId="40" priority="5">
      <formula>$D$18&gt;0</formula>
    </cfRule>
  </conditionalFormatting>
  <conditionalFormatting sqref="A273">
    <cfRule type="expression" dxfId="39" priority="4">
      <formula>$D$18&gt;0</formula>
    </cfRule>
  </conditionalFormatting>
  <conditionalFormatting sqref="A281">
    <cfRule type="expression" dxfId="38" priority="3">
      <formula>$D$18&gt;0</formula>
    </cfRule>
  </conditionalFormatting>
  <conditionalFormatting sqref="A291">
    <cfRule type="expression" dxfId="37" priority="2">
      <formula>$D$18&gt;0</formula>
    </cfRule>
  </conditionalFormatting>
  <conditionalFormatting sqref="A306:A308">
    <cfRule type="expression" dxfId="36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8" manualBreakCount="8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  <brk id="317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1CFD-D634-4F07-9D0D-1183F25D9FA3}">
  <dimension ref="A2:X323"/>
  <sheetViews>
    <sheetView showGridLines="0" topLeftCell="A56" zoomScaleNormal="100" zoomScaleSheetLayoutView="85" workbookViewId="0">
      <selection activeCell="J64" sqref="J64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351"/>
      <c r="L64" s="351"/>
      <c r="M64" s="351"/>
      <c r="N64" s="351"/>
      <c r="O64" s="351"/>
      <c r="Q64" s="1" t="s">
        <v>368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316"/>
      <c r="L65" s="316"/>
      <c r="M65" s="316"/>
      <c r="N65" s="316"/>
      <c r="O65" s="316"/>
      <c r="Q65" s="1" t="s">
        <v>242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0</v>
      </c>
      <c r="L66" s="135">
        <f t="shared" si="0"/>
        <v>0</v>
      </c>
      <c r="M66" s="135">
        <f t="shared" si="0"/>
        <v>0</v>
      </c>
      <c r="N66" s="135">
        <f t="shared" si="0"/>
        <v>0</v>
      </c>
      <c r="O66" s="135">
        <f t="shared" si="0"/>
        <v>0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314"/>
      <c r="L67" s="305"/>
      <c r="M67" s="305"/>
      <c r="N67" s="305"/>
      <c r="O67" s="305"/>
      <c r="Q67" s="1" t="s">
        <v>247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0</v>
      </c>
      <c r="L68" s="196">
        <f t="shared" si="1"/>
        <v>0</v>
      </c>
      <c r="M68" s="196">
        <f t="shared" si="1"/>
        <v>0</v>
      </c>
      <c r="N68" s="196">
        <f t="shared" si="1"/>
        <v>0</v>
      </c>
      <c r="O68" s="196">
        <f t="shared" si="1"/>
        <v>0</v>
      </c>
    </row>
    <row r="69" spans="2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1" t="s">
        <v>243</v>
      </c>
    </row>
    <row r="70" spans="2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1" t="s">
        <v>244</v>
      </c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0</v>
      </c>
      <c r="L71" s="134">
        <f t="shared" si="2"/>
        <v>0</v>
      </c>
      <c r="M71" s="134">
        <f t="shared" si="2"/>
        <v>0</v>
      </c>
      <c r="N71" s="134">
        <f t="shared" si="2"/>
        <v>0</v>
      </c>
      <c r="O71" s="134">
        <f t="shared" si="2"/>
        <v>0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314"/>
      <c r="L72" s="305"/>
      <c r="M72" s="305"/>
      <c r="N72" s="305"/>
      <c r="O72" s="305"/>
      <c r="Q72" s="1" t="s">
        <v>245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0</v>
      </c>
      <c r="L73" s="145">
        <f t="shared" si="3"/>
        <v>0</v>
      </c>
      <c r="M73" s="145">
        <f t="shared" si="3"/>
        <v>0</v>
      </c>
      <c r="N73" s="145">
        <f t="shared" si="3"/>
        <v>0</v>
      </c>
      <c r="O73" s="145">
        <f t="shared" si="3"/>
        <v>0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0</v>
      </c>
      <c r="L82" s="197">
        <f t="shared" si="6"/>
        <v>0</v>
      </c>
      <c r="M82" s="197">
        <f t="shared" si="6"/>
        <v>0</v>
      </c>
      <c r="N82" s="197">
        <f t="shared" si="6"/>
        <v>0</v>
      </c>
      <c r="O82" s="197">
        <f t="shared" si="6"/>
        <v>0</v>
      </c>
    </row>
    <row r="83" spans="2:17" ht="12.95" customHeight="1" x14ac:dyDescent="0.25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/>
      <c r="L83" s="134"/>
      <c r="M83" s="134"/>
      <c r="N83" s="134"/>
      <c r="O83" s="134"/>
      <c r="P83" s="143"/>
      <c r="Q83" s="330"/>
    </row>
    <row r="84" spans="2:17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0</v>
      </c>
      <c r="L84" s="197">
        <f t="shared" si="7"/>
        <v>0</v>
      </c>
      <c r="M84" s="197">
        <f t="shared" si="7"/>
        <v>0</v>
      </c>
      <c r="N84" s="197">
        <f t="shared" si="7"/>
        <v>0</v>
      </c>
      <c r="O84" s="197">
        <f t="shared" si="7"/>
        <v>0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349"/>
      <c r="L85" s="350"/>
      <c r="M85" s="350"/>
      <c r="N85" s="350"/>
      <c r="O85" s="350"/>
      <c r="Q85" s="1" t="s">
        <v>246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0</v>
      </c>
      <c r="L86" s="145">
        <f t="shared" si="8"/>
        <v>0</v>
      </c>
      <c r="M86" s="145">
        <f t="shared" si="8"/>
        <v>0</v>
      </c>
      <c r="N86" s="145">
        <f t="shared" si="8"/>
        <v>0</v>
      </c>
      <c r="O86" s="145">
        <f t="shared" si="8"/>
        <v>0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7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 t="e">
        <f t="shared" si="9"/>
        <v>#DIV/0!</v>
      </c>
      <c r="L92" s="63" t="e">
        <f t="shared" si="9"/>
        <v>#DIV/0!</v>
      </c>
      <c r="M92" s="63" t="e">
        <f t="shared" si="9"/>
        <v>#DIV/0!</v>
      </c>
      <c r="N92" s="63" t="e">
        <f t="shared" si="9"/>
        <v>#DIV/0!</v>
      </c>
      <c r="O92" s="63" t="e">
        <f t="shared" si="9"/>
        <v>#DIV/0!</v>
      </c>
    </row>
    <row r="93" spans="2:17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-1</v>
      </c>
      <c r="L93" s="63" t="e">
        <f t="shared" si="10"/>
        <v>#DIV/0!</v>
      </c>
      <c r="M93" s="63" t="e">
        <f t="shared" si="10"/>
        <v>#DIV/0!</v>
      </c>
      <c r="N93" s="63" t="e">
        <f t="shared" si="10"/>
        <v>#DIV/0!</v>
      </c>
      <c r="O93" s="63" t="e">
        <f t="shared" si="10"/>
        <v>#DIV/0!</v>
      </c>
    </row>
    <row r="94" spans="2:17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-1</v>
      </c>
      <c r="L94" s="63" t="e">
        <f t="shared" si="11"/>
        <v>#DIV/0!</v>
      </c>
      <c r="M94" s="63" t="e">
        <f t="shared" si="11"/>
        <v>#DIV/0!</v>
      </c>
      <c r="N94" s="63" t="e">
        <f t="shared" si="11"/>
        <v>#DIV/0!</v>
      </c>
      <c r="O94" s="63" t="e">
        <f t="shared" si="11"/>
        <v>#DIV/0!</v>
      </c>
    </row>
    <row r="95" spans="2:17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 t="e">
        <f t="shared" si="13"/>
        <v>#DIV/0!</v>
      </c>
      <c r="L97" s="76" t="e">
        <f t="shared" si="13"/>
        <v>#DIV/0!</v>
      </c>
      <c r="M97" s="76" t="e">
        <f t="shared" si="13"/>
        <v>#DIV/0!</v>
      </c>
      <c r="N97" s="76" t="e">
        <f t="shared" si="13"/>
        <v>#DIV/0!</v>
      </c>
      <c r="O97" s="76" t="e">
        <f t="shared" si="13"/>
        <v>#DIV/0!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/>
      <c r="L104" s="135"/>
      <c r="M104" s="135"/>
      <c r="N104" s="135"/>
      <c r="O104" s="135"/>
      <c r="P104" s="143"/>
      <c r="Q104" s="259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/>
      <c r="L105" s="137"/>
      <c r="M105" s="137"/>
      <c r="N105" s="137"/>
      <c r="O105" s="137"/>
      <c r="P105" s="143"/>
      <c r="Q105" s="259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/>
      <c r="L106" s="140"/>
      <c r="M106" s="140"/>
      <c r="N106" s="140"/>
      <c r="O106" s="140"/>
      <c r="P106" s="143"/>
      <c r="Q106" s="259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/>
      <c r="I107" s="147"/>
      <c r="J107" s="123"/>
      <c r="K107" s="154"/>
      <c r="L107" s="147"/>
      <c r="M107" s="147"/>
      <c r="N107" s="147"/>
      <c r="O107" s="147"/>
      <c r="P107" s="175"/>
      <c r="Q107" s="259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P108" s="143"/>
      <c r="Q108" s="259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5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/>
      <c r="L109" s="136"/>
      <c r="M109" s="136"/>
      <c r="N109" s="136"/>
      <c r="O109" s="136"/>
      <c r="P109" s="143"/>
      <c r="Q109" s="330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/>
      <c r="L110" s="136"/>
      <c r="M110" s="136"/>
      <c r="N110" s="136"/>
      <c r="O110" s="136"/>
      <c r="P110" s="143"/>
      <c r="Q110" s="259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/>
      <c r="L111" s="137"/>
      <c r="M111" s="137"/>
      <c r="N111" s="137"/>
      <c r="O111" s="137"/>
      <c r="P111" s="143"/>
      <c r="Q111" s="259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/>
      <c r="I112" s="145"/>
      <c r="J112" s="146"/>
      <c r="K112" s="145"/>
      <c r="L112" s="145"/>
      <c r="M112" s="145"/>
      <c r="N112" s="145"/>
      <c r="O112" s="145"/>
      <c r="P112" s="144"/>
      <c r="Q112" s="152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P113" s="143"/>
      <c r="Q113" s="259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/>
      <c r="L114" s="137"/>
      <c r="M114" s="137"/>
      <c r="N114" s="137"/>
      <c r="O114" s="137"/>
      <c r="P114" s="143"/>
      <c r="Q114" s="259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/>
      <c r="L115" s="137"/>
      <c r="M115" s="137"/>
      <c r="N115" s="137"/>
      <c r="O115" s="137"/>
      <c r="P115" s="143"/>
      <c r="Q115" s="259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/>
      <c r="L116" s="140"/>
      <c r="M116" s="140"/>
      <c r="N116" s="140"/>
      <c r="O116" s="140"/>
      <c r="P116" s="143"/>
      <c r="Q116" s="259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/>
      <c r="I117" s="147"/>
      <c r="J117" s="148"/>
      <c r="K117" s="149"/>
      <c r="L117" s="147"/>
      <c r="M117" s="147"/>
      <c r="N117" s="147"/>
      <c r="O117" s="147"/>
      <c r="P117" s="143"/>
      <c r="Q117" s="259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/>
      <c r="L119" s="137"/>
      <c r="M119" s="137"/>
      <c r="N119" s="137"/>
      <c r="O119" s="137"/>
      <c r="P119" s="143"/>
      <c r="Q119" s="259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/>
      <c r="I123" s="154"/>
      <c r="J123" s="123"/>
      <c r="K123" s="154"/>
      <c r="L123" s="154"/>
      <c r="M123" s="154"/>
      <c r="N123" s="154"/>
      <c r="O123" s="154"/>
      <c r="P123" s="175"/>
      <c r="Q123" s="259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P124" s="143"/>
      <c r="Q124" s="259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P127" s="143"/>
      <c r="Q127" s="259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/>
      <c r="I128" s="155"/>
      <c r="J128" s="156"/>
      <c r="K128" s="155"/>
      <c r="L128" s="155"/>
      <c r="M128" s="155"/>
      <c r="N128" s="155"/>
      <c r="O128" s="155"/>
      <c r="P128" s="235"/>
      <c r="Q128" s="152"/>
      <c r="R128" s="119"/>
      <c r="S128" s="119"/>
      <c r="T128" s="119"/>
      <c r="U128" s="119"/>
      <c r="V128" s="119"/>
      <c r="W128" s="119"/>
      <c r="X128" s="119"/>
    </row>
    <row r="129" spans="2:17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  <c r="P129" s="143"/>
      <c r="Q129" s="143"/>
    </row>
    <row r="130" spans="2:17" ht="12.95" customHeight="1" outlineLevel="1" x14ac:dyDescent="0.2">
      <c r="B130" s="1" t="s">
        <v>65</v>
      </c>
      <c r="H130" s="137"/>
      <c r="I130" s="137"/>
      <c r="J130" s="157"/>
      <c r="K130" s="136"/>
      <c r="L130" s="137"/>
      <c r="M130" s="137"/>
      <c r="N130" s="137"/>
      <c r="O130" s="137"/>
      <c r="P130" s="143"/>
      <c r="Q130" s="152"/>
    </row>
    <row r="131" spans="2:17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7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7" ht="12.95" customHeight="1" outlineLevel="1" x14ac:dyDescent="0.2">
      <c r="B133" s="1" t="str">
        <f>+B64</f>
        <v>Revenue</v>
      </c>
      <c r="H133" s="137">
        <f t="shared" ref="H133:O133" si="14">+H64</f>
        <v>1209.9228781500001</v>
      </c>
      <c r="I133" s="137">
        <f t="shared" si="14"/>
        <v>1288.5678652297499</v>
      </c>
      <c r="J133" s="157">
        <f t="shared" si="14"/>
        <v>1378.7676157958326</v>
      </c>
      <c r="K133" s="136">
        <f t="shared" si="14"/>
        <v>0</v>
      </c>
      <c r="L133" s="137">
        <f t="shared" si="14"/>
        <v>0</v>
      </c>
      <c r="M133" s="137">
        <f t="shared" si="14"/>
        <v>0</v>
      </c>
      <c r="N133" s="137">
        <f t="shared" si="14"/>
        <v>0</v>
      </c>
      <c r="O133" s="137">
        <f t="shared" si="14"/>
        <v>0</v>
      </c>
    </row>
    <row r="134" spans="2:17" ht="12.95" customHeight="1" outlineLevel="1" x14ac:dyDescent="0.2">
      <c r="B134" s="1" t="str">
        <f>+B65</f>
        <v>Cost of Goods Sold (Cost of Sales)</v>
      </c>
      <c r="H134" s="137">
        <f t="shared" ref="H134:O134" si="15">-H65</f>
        <v>679.97665752030014</v>
      </c>
      <c r="I134" s="137">
        <f t="shared" si="15"/>
        <v>721.59800452866</v>
      </c>
      <c r="J134" s="157">
        <f t="shared" si="15"/>
        <v>769.35232961407462</v>
      </c>
      <c r="K134" s="136">
        <f t="shared" si="15"/>
        <v>0</v>
      </c>
      <c r="L134" s="137">
        <f t="shared" si="15"/>
        <v>0</v>
      </c>
      <c r="M134" s="137">
        <f t="shared" si="15"/>
        <v>0</v>
      </c>
      <c r="N134" s="137">
        <f t="shared" si="15"/>
        <v>0</v>
      </c>
      <c r="O134" s="137">
        <f t="shared" si="15"/>
        <v>0</v>
      </c>
    </row>
    <row r="135" spans="2:17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16">-H67</f>
        <v>335.75359868662508</v>
      </c>
      <c r="I135" s="140">
        <f t="shared" si="16"/>
        <v>355.64473080341099</v>
      </c>
      <c r="J135" s="122">
        <f t="shared" si="16"/>
        <v>378.47171053595611</v>
      </c>
      <c r="K135" s="140">
        <f t="shared" si="16"/>
        <v>0</v>
      </c>
      <c r="L135" s="140">
        <f t="shared" si="16"/>
        <v>0</v>
      </c>
      <c r="M135" s="140">
        <f t="shared" si="16"/>
        <v>0</v>
      </c>
      <c r="N135" s="140">
        <f t="shared" si="16"/>
        <v>0</v>
      </c>
      <c r="O135" s="140">
        <f t="shared" si="16"/>
        <v>0</v>
      </c>
    </row>
    <row r="136" spans="2:17" ht="12.95" customHeight="1" outlineLevel="1" x14ac:dyDescent="0.2">
      <c r="J136" s="161"/>
      <c r="K136" s="93"/>
    </row>
    <row r="137" spans="2:17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7" ht="12.95" customHeight="1" x14ac:dyDescent="0.2">
      <c r="B138" s="1" t="s">
        <v>68</v>
      </c>
      <c r="H138" s="335"/>
      <c r="I138" s="335"/>
      <c r="J138" s="336"/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7" ht="12.95" customHeight="1" x14ac:dyDescent="0.2">
      <c r="B139" s="1" t="s">
        <v>69</v>
      </c>
      <c r="H139" s="225"/>
      <c r="I139" s="225"/>
      <c r="J139" s="125"/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7" ht="12.95" customHeight="1" x14ac:dyDescent="0.2">
      <c r="B140" s="1" t="s">
        <v>70</v>
      </c>
      <c r="H140" s="129"/>
      <c r="I140" s="129"/>
      <c r="J140" s="165"/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7" ht="12.95" customHeight="1" x14ac:dyDescent="0.2">
      <c r="B141" s="1" t="s">
        <v>164</v>
      </c>
      <c r="H141" s="129"/>
      <c r="I141" s="129"/>
      <c r="J141" s="165"/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7" ht="3" customHeight="1" x14ac:dyDescent="0.2">
      <c r="H142" s="29"/>
      <c r="I142" s="29"/>
      <c r="J142" s="59"/>
      <c r="K142" s="93"/>
    </row>
    <row r="143" spans="2:17" ht="12.95" customHeight="1" x14ac:dyDescent="0.2">
      <c r="B143" s="1" t="s">
        <v>71</v>
      </c>
      <c r="H143" s="335"/>
      <c r="I143" s="335"/>
      <c r="J143" s="340"/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7" ht="12.95" customHeight="1" x14ac:dyDescent="0.2">
      <c r="B144" s="1" t="s">
        <v>72</v>
      </c>
      <c r="H144" s="129"/>
      <c r="I144" s="129"/>
      <c r="J144" s="165"/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129"/>
      <c r="I145" s="129"/>
      <c r="J145" s="165"/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129"/>
      <c r="I146" s="129"/>
      <c r="J146" s="165"/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60"/>
      <c r="I148" s="160"/>
      <c r="J148" s="120"/>
      <c r="K148" s="117"/>
      <c r="L148" s="160"/>
      <c r="M148" s="160"/>
      <c r="N148" s="160"/>
      <c r="O148" s="160"/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342"/>
      <c r="I149" s="342"/>
      <c r="J149" s="343"/>
      <c r="K149" s="342"/>
      <c r="L149" s="342"/>
      <c r="M149" s="342"/>
      <c r="N149" s="342"/>
      <c r="O149" s="342"/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/>
      <c r="L155" s="160"/>
      <c r="M155" s="160"/>
      <c r="N155" s="160"/>
      <c r="O155" s="160"/>
      <c r="P155" s="143"/>
      <c r="Q155" s="143"/>
    </row>
    <row r="156" spans="1:17" ht="12.95" customHeight="1" x14ac:dyDescent="0.2">
      <c r="B156" s="1" t="s">
        <v>77</v>
      </c>
      <c r="H156" s="23"/>
      <c r="I156" s="23"/>
      <c r="J156" s="23"/>
      <c r="K156" s="137"/>
      <c r="L156" s="137"/>
      <c r="M156" s="137"/>
      <c r="N156" s="137"/>
      <c r="O156" s="137"/>
      <c r="P156" s="143"/>
      <c r="Q156" s="143"/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/>
      <c r="L160" s="137"/>
      <c r="M160" s="137"/>
      <c r="N160" s="137"/>
      <c r="O160" s="137"/>
      <c r="P160" s="143"/>
      <c r="Q160" s="202"/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/>
      <c r="L161" s="137"/>
      <c r="M161" s="137"/>
      <c r="N161" s="137"/>
      <c r="O161" s="137"/>
      <c r="P161" s="143"/>
      <c r="Q161" s="202"/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/>
      <c r="L162" s="137"/>
      <c r="M162" s="137"/>
      <c r="N162" s="137"/>
      <c r="O162" s="137"/>
      <c r="P162" s="143"/>
      <c r="Q162" s="202"/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/>
      <c r="L163" s="137"/>
      <c r="M163" s="137"/>
      <c r="N163" s="137"/>
      <c r="O163" s="137"/>
      <c r="P163" s="143"/>
      <c r="Q163" s="202"/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/>
      <c r="L164" s="137"/>
      <c r="M164" s="137"/>
      <c r="N164" s="137"/>
      <c r="O164" s="137"/>
      <c r="P164" s="143"/>
      <c r="Q164" s="202"/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/>
      <c r="L165" s="137"/>
      <c r="M165" s="137"/>
      <c r="N165" s="137"/>
      <c r="O165" s="137"/>
      <c r="P165" s="143"/>
      <c r="Q165" s="202"/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/>
      <c r="L166" s="137"/>
      <c r="M166" s="137"/>
      <c r="N166" s="137"/>
      <c r="O166" s="137"/>
      <c r="P166" s="143"/>
      <c r="Q166" s="202"/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/>
      <c r="L167" s="140"/>
      <c r="M167" s="140"/>
      <c r="N167" s="140"/>
      <c r="O167" s="140"/>
      <c r="P167" s="143"/>
      <c r="Q167" s="202"/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/>
      <c r="L168" s="147"/>
      <c r="M168" s="147"/>
      <c r="N168" s="147"/>
      <c r="O168" s="147"/>
      <c r="P168" s="143"/>
      <c r="Q168" s="143"/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/>
      <c r="L170" s="155"/>
      <c r="M170" s="155"/>
      <c r="N170" s="155"/>
      <c r="O170" s="155"/>
      <c r="P170" s="144"/>
      <c r="Q170" s="144"/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160"/>
      <c r="L173" s="160"/>
      <c r="M173" s="160"/>
      <c r="N173" s="160"/>
      <c r="O173" s="160"/>
      <c r="P173" s="143"/>
      <c r="Q173" s="143"/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/>
      <c r="L174" s="155"/>
      <c r="M174" s="155"/>
      <c r="N174" s="155"/>
      <c r="O174" s="155"/>
      <c r="P174" s="235"/>
      <c r="Q174" s="144"/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/>
      <c r="L182" s="257"/>
      <c r="M182" s="257"/>
      <c r="N182" s="257"/>
      <c r="O182" s="257"/>
      <c r="P182" s="175"/>
      <c r="Q182" s="143"/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/>
      <c r="L184" s="155"/>
      <c r="M184" s="155"/>
      <c r="N184" s="155"/>
      <c r="O184" s="155"/>
      <c r="P184" s="144"/>
      <c r="Q184" s="144"/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326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325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17">+H133</f>
        <v>1209.9228781500001</v>
      </c>
      <c r="I249" s="137">
        <f t="shared" si="17"/>
        <v>1288.5678652297499</v>
      </c>
      <c r="J249" s="136">
        <f t="shared" si="17"/>
        <v>1378.7676157958326</v>
      </c>
      <c r="K249" s="136">
        <f t="shared" si="17"/>
        <v>0</v>
      </c>
      <c r="L249" s="137">
        <f t="shared" si="17"/>
        <v>0</v>
      </c>
      <c r="M249" s="137">
        <f t="shared" si="17"/>
        <v>0</v>
      </c>
      <c r="N249" s="137">
        <f t="shared" si="17"/>
        <v>0</v>
      </c>
      <c r="O249" s="137">
        <f t="shared" si="17"/>
        <v>0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17"/>
        <v>679.97665752030014</v>
      </c>
      <c r="I250" s="137">
        <f t="shared" si="17"/>
        <v>721.59800452866</v>
      </c>
      <c r="J250" s="136">
        <f t="shared" si="17"/>
        <v>769.35232961407462</v>
      </c>
      <c r="K250" s="136">
        <f t="shared" si="17"/>
        <v>0</v>
      </c>
      <c r="L250" s="137">
        <f t="shared" si="17"/>
        <v>0</v>
      </c>
      <c r="M250" s="137">
        <f t="shared" si="17"/>
        <v>0</v>
      </c>
      <c r="N250" s="137">
        <f t="shared" si="17"/>
        <v>0</v>
      </c>
      <c r="O250" s="137">
        <f t="shared" si="17"/>
        <v>0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17"/>
        <v>335.75359868662508</v>
      </c>
      <c r="I251" s="140">
        <f t="shared" si="17"/>
        <v>355.64473080341099</v>
      </c>
      <c r="J251" s="140">
        <f t="shared" si="17"/>
        <v>378.47171053595611</v>
      </c>
      <c r="K251" s="140">
        <f t="shared" si="17"/>
        <v>0</v>
      </c>
      <c r="L251" s="140">
        <f t="shared" si="17"/>
        <v>0</v>
      </c>
      <c r="M251" s="140">
        <f t="shared" si="17"/>
        <v>0</v>
      </c>
      <c r="N251" s="140">
        <f t="shared" si="17"/>
        <v>0</v>
      </c>
      <c r="O251" s="140">
        <f t="shared" si="17"/>
        <v>0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/>
      <c r="L255" s="178"/>
      <c r="M255" s="178"/>
      <c r="N255" s="178"/>
      <c r="O255" s="178"/>
      <c r="P255" s="143"/>
      <c r="Q255" s="143"/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/>
      <c r="L256" s="179"/>
      <c r="M256" s="179"/>
      <c r="N256" s="179"/>
      <c r="O256" s="179"/>
      <c r="P256" s="143"/>
      <c r="Q256" s="143"/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/>
      <c r="L257" s="180"/>
      <c r="M257" s="180"/>
      <c r="N257" s="180"/>
      <c r="O257" s="180"/>
      <c r="P257" s="143"/>
      <c r="Q257" s="143"/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/>
      <c r="L258" s="181"/>
      <c r="M258" s="181"/>
      <c r="N258" s="181"/>
      <c r="O258" s="181"/>
      <c r="P258" s="143"/>
      <c r="Q258" s="143"/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129"/>
      <c r="I259" s="129"/>
      <c r="J259" s="165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4"/>
      <c r="I260" s="324"/>
      <c r="J260" s="325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6D22F-18E1-4AE0-A514-B86BB48C4BD2}">
  <dimension ref="A2:X349"/>
  <sheetViews>
    <sheetView showGridLines="0" topLeftCell="A48" zoomScaleNormal="100" zoomScaleSheetLayoutView="85" workbookViewId="0">
      <selection activeCell="A48" sqref="A48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outlineLevel="1"/>
    <col min="18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332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333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+IF(SUM(H142:O142)=0,0,1)</f>
        <v>0</v>
      </c>
    </row>
    <row r="17" spans="1:15" ht="12.95" customHeight="1" x14ac:dyDescent="0.2">
      <c r="B17" s="1" t="s">
        <v>8</v>
      </c>
      <c r="D17" s="259">
        <f ca="1">+IF(SUM(K237:O237)=0,0,1)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ca="1" si="0"/>
        <v>1478.7282679410305</v>
      </c>
      <c r="L27" s="147">
        <f t="shared" ca="1" si="0"/>
        <v>1589.6328880366079</v>
      </c>
      <c r="M27" s="147">
        <f t="shared" ca="1" si="0"/>
        <v>1712.8294368594452</v>
      </c>
      <c r="N27" s="147">
        <f t="shared" ca="1" si="0"/>
        <v>1849.8557918082008</v>
      </c>
      <c r="O27" s="147">
        <f t="shared" ca="1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ca="1" si="1"/>
        <v>7.2500000000000009E-2</v>
      </c>
      <c r="L28" s="218">
        <f t="shared" ca="1" si="1"/>
        <v>7.5000000000000178E-2</v>
      </c>
      <c r="M28" s="218">
        <f t="shared" ca="1" si="1"/>
        <v>7.7500000000000124E-2</v>
      </c>
      <c r="N28" s="218">
        <f t="shared" ca="1" si="1"/>
        <v>8.0000000000000071E-2</v>
      </c>
      <c r="O28" s="218">
        <f t="shared" ca="1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ca="1" si="2"/>
        <v>272.82536543511998</v>
      </c>
      <c r="L29" s="147">
        <f t="shared" ca="1" si="2"/>
        <v>299.64579939490051</v>
      </c>
      <c r="M29" s="147">
        <f t="shared" ca="1" si="2"/>
        <v>329.71966659544307</v>
      </c>
      <c r="N29" s="147">
        <f t="shared" ca="1" si="2"/>
        <v>363.49666309031136</v>
      </c>
      <c r="O29" s="147">
        <f t="shared" ca="1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ca="1" si="3"/>
        <v>0.18449999999999991</v>
      </c>
      <c r="L30" s="218">
        <f t="shared" ca="1" si="3"/>
        <v>0.18849999999999995</v>
      </c>
      <c r="M30" s="218">
        <f t="shared" ca="1" si="3"/>
        <v>0.19249999999999992</v>
      </c>
      <c r="N30" s="218">
        <f t="shared" ca="1" si="3"/>
        <v>0.19649999999999995</v>
      </c>
      <c r="O30" s="218">
        <f t="shared" ca="1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 ca="1">-K185</f>
        <v>21.441559885144944</v>
      </c>
      <c r="L33" s="160">
        <f ca="1">-L185</f>
        <v>23.84449332054912</v>
      </c>
      <c r="M33" s="160">
        <f ca="1">-M185</f>
        <v>26.548856271321402</v>
      </c>
      <c r="N33" s="160">
        <f ca="1">-N185</f>
        <v>29.597692668931213</v>
      </c>
      <c r="O33" s="160">
        <f ca="1">-O185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 ca="1">+K33/K27</f>
        <v>1.4500000000000001E-2</v>
      </c>
      <c r="L34" s="218">
        <f ca="1">+L33/L27</f>
        <v>1.5000000000000001E-2</v>
      </c>
      <c r="M34" s="218">
        <f ca="1">+M33/M27</f>
        <v>1.55E-2</v>
      </c>
      <c r="N34" s="218">
        <f ca="1">+N33/N27</f>
        <v>1.6E-2</v>
      </c>
      <c r="O34" s="218">
        <f ca="1"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328</v>
      </c>
      <c r="H38" s="143"/>
      <c r="I38" s="143"/>
      <c r="J38" s="120"/>
      <c r="K38" s="118">
        <f ca="1">+K84+K169</f>
        <v>283.93724612209644</v>
      </c>
      <c r="L38" s="118">
        <f ca="1">+L84+L169</f>
        <v>311.59107113340019</v>
      </c>
      <c r="M38" s="118">
        <f ca="1">+M84+M169</f>
        <v>342.59069689367647</v>
      </c>
      <c r="N38" s="118">
        <f ca="1">+N84+N169</f>
        <v>377.39737581240342</v>
      </c>
      <c r="O38" s="118">
        <f ca="1">+O84+O169</f>
        <v>416.54253489545624</v>
      </c>
    </row>
    <row r="39" spans="2:15" ht="12.95" customHeight="1" x14ac:dyDescent="0.2">
      <c r="B39" s="1" t="s">
        <v>330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 ca="1">+K180</f>
        <v>-10.511989007322436</v>
      </c>
      <c r="L41" s="137">
        <f ca="1">+L180</f>
        <v>-11.660916381467509</v>
      </c>
      <c r="M41" s="137">
        <f ca="1">+M180</f>
        <v>-12.951044653209886</v>
      </c>
      <c r="N41" s="137">
        <f ca="1">+N180</f>
        <v>-14.402236689579912</v>
      </c>
      <c r="O41" s="137">
        <f ca="1">+O180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 ca="1">-K33</f>
        <v>-21.441559885144944</v>
      </c>
      <c r="L42" s="137">
        <f ca="1">-L33</f>
        <v>-23.84449332054912</v>
      </c>
      <c r="M42" s="137">
        <f ca="1">-M33</f>
        <v>-26.548856271321402</v>
      </c>
      <c r="N42" s="137">
        <f ca="1">-N33</f>
        <v>-29.597692668931213</v>
      </c>
      <c r="O42" s="137">
        <f ca="1"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4">+K121</f>
        <v>0</v>
      </c>
      <c r="L49" s="137">
        <f t="shared" ca="1" si="4"/>
        <v>0</v>
      </c>
      <c r="M49" s="137">
        <f t="shared" ca="1" si="4"/>
        <v>0</v>
      </c>
      <c r="N49" s="137">
        <f t="shared" ca="1" si="4"/>
        <v>0</v>
      </c>
      <c r="O49" s="137">
        <f t="shared" ca="1" si="4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4"/>
        <v>50</v>
      </c>
      <c r="L50" s="140">
        <f t="shared" si="4"/>
        <v>50</v>
      </c>
      <c r="M50" s="140">
        <f t="shared" si="4"/>
        <v>50</v>
      </c>
      <c r="N50" s="140">
        <f t="shared" si="4"/>
        <v>50</v>
      </c>
      <c r="O50" s="140">
        <f t="shared" si="4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1012.785947090466</v>
      </c>
      <c r="L52" s="140">
        <f t="shared" ref="L52:O52" ca="1" si="5">+SUM(L125:L127)</f>
        <v>1219.9109434886702</v>
      </c>
      <c r="M52" s="140">
        <f t="shared" ca="1" si="5"/>
        <v>1448.7232675914715</v>
      </c>
      <c r="N52" s="140">
        <f t="shared" ca="1" si="5"/>
        <v>1701.8488422858063</v>
      </c>
      <c r="O52" s="140">
        <f t="shared" ca="1" si="5"/>
        <v>1982.2757939329481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1062.7859470904659</v>
      </c>
      <c r="L53" s="147">
        <f ca="1">SUM(L51:L52)</f>
        <v>1269.9109434886702</v>
      </c>
      <c r="M53" s="147">
        <f ca="1">SUM(M51:M52)</f>
        <v>1498.7232675914715</v>
      </c>
      <c r="N53" s="147">
        <f ca="1">SUM(N51:N52)</f>
        <v>1751.8488422858063</v>
      </c>
      <c r="O53" s="147">
        <f ca="1">SUM(O51:O52)</f>
        <v>2032.2757939329481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285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 ca="1">+J64*(1+K89)</f>
        <v>1478.7282679410305</v>
      </c>
      <c r="L64" s="195">
        <f ca="1">+K64*(1+L89)</f>
        <v>1589.6328880366079</v>
      </c>
      <c r="M64" s="195">
        <f ca="1">+L64*(1+M89)</f>
        <v>1712.8294368594452</v>
      </c>
      <c r="N64" s="195">
        <f ca="1">+M64*(1+N89)</f>
        <v>1849.8557918082008</v>
      </c>
      <c r="O64" s="195">
        <f ca="1"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 ca="1">-(K64*(1-K90))</f>
        <v>-822.17291697521307</v>
      </c>
      <c r="L65" s="153">
        <f ca="1">-(L64*(1-L90))</f>
        <v>-880.65661997228085</v>
      </c>
      <c r="M65" s="153">
        <f ca="1">-(M64*(1-M90))</f>
        <v>-945.48184914641388</v>
      </c>
      <c r="N65" s="153">
        <f ca="1">-(N64*(1-N90))</f>
        <v>-1017.4206854945105</v>
      </c>
      <c r="O65" s="153">
        <f ca="1"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6">SUM(H64:H65)</f>
        <v>529.94622062969995</v>
      </c>
      <c r="I66" s="53">
        <f t="shared" si="6"/>
        <v>566.96986070108994</v>
      </c>
      <c r="J66" s="54">
        <f t="shared" si="6"/>
        <v>609.41528618175801</v>
      </c>
      <c r="K66" s="134">
        <f t="shared" ca="1" si="6"/>
        <v>656.55535096581741</v>
      </c>
      <c r="L66" s="135">
        <f t="shared" ca="1" si="6"/>
        <v>708.97626806432709</v>
      </c>
      <c r="M66" s="135">
        <f t="shared" ca="1" si="6"/>
        <v>767.34758771303132</v>
      </c>
      <c r="N66" s="135">
        <f t="shared" ca="1" si="6"/>
        <v>832.43510631369031</v>
      </c>
      <c r="O66" s="135">
        <f t="shared" ca="1" si="6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 ca="1">-K64*K91</f>
        <v>-403.69281714790134</v>
      </c>
      <c r="L67" s="135">
        <f ca="1">-L64*L91</f>
        <v>-431.58532910193907</v>
      </c>
      <c r="M67" s="135">
        <f ca="1">-M64*M91</f>
        <v>-462.46394795205021</v>
      </c>
      <c r="N67" s="135">
        <f ca="1">-N64*N91</f>
        <v>-496.68628010050196</v>
      </c>
      <c r="O67" s="135">
        <f ca="1"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7">+SUM(H66:H67)</f>
        <v>194.19262194307487</v>
      </c>
      <c r="I68" s="55">
        <f t="shared" si="7"/>
        <v>211.32512989767895</v>
      </c>
      <c r="J68" s="56">
        <f t="shared" si="7"/>
        <v>230.9435756458019</v>
      </c>
      <c r="K68" s="196">
        <f t="shared" ca="1" si="7"/>
        <v>252.86253381791607</v>
      </c>
      <c r="L68" s="196">
        <f t="shared" ca="1" si="7"/>
        <v>277.39093896238802</v>
      </c>
      <c r="M68" s="196">
        <f t="shared" ca="1" si="7"/>
        <v>304.88363976098111</v>
      </c>
      <c r="N68" s="196">
        <f t="shared" ca="1" si="7"/>
        <v>335.74882621318835</v>
      </c>
      <c r="O68" s="196">
        <f t="shared" ca="1" si="7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+K256</f>
        <v>8.0115731903898535</v>
      </c>
      <c r="L69" s="135">
        <f ca="1">+L256</f>
        <v>9.859736229226117</v>
      </c>
      <c r="M69" s="135">
        <f ca="1">+M256</f>
        <v>11.899850714933278</v>
      </c>
      <c r="N69" s="135">
        <f ca="1">+N256</f>
        <v>14.154960376061672</v>
      </c>
      <c r="O69" s="135">
        <f ca="1">+O256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-(K234+K245)</f>
        <v>-2.5</v>
      </c>
      <c r="L70" s="217">
        <f ca="1">-(L234+L245)</f>
        <v>-2.5</v>
      </c>
      <c r="M70" s="217">
        <f ca="1">-(M234+M245)</f>
        <v>-2.5</v>
      </c>
      <c r="N70" s="217">
        <f ca="1">-(N234+N245)</f>
        <v>-2.5</v>
      </c>
      <c r="O70" s="217">
        <f ca="1">-(O234+O245)</f>
        <v>-2.5</v>
      </c>
    </row>
    <row r="71" spans="2:15" ht="12.95" customHeight="1" x14ac:dyDescent="0.2">
      <c r="B71" s="1" t="s">
        <v>37</v>
      </c>
      <c r="H71" s="53">
        <f t="shared" ref="H71:O71" si="8">+SUM(H68:H70)</f>
        <v>195.11265228478928</v>
      </c>
      <c r="I71" s="53">
        <f t="shared" si="8"/>
        <v>213.63592421907794</v>
      </c>
      <c r="J71" s="54">
        <f t="shared" si="8"/>
        <v>234.77863638934826</v>
      </c>
      <c r="K71" s="134">
        <f t="shared" ca="1" si="8"/>
        <v>258.37410700830594</v>
      </c>
      <c r="L71" s="134">
        <f t="shared" ca="1" si="8"/>
        <v>284.75067519161416</v>
      </c>
      <c r="M71" s="134">
        <f t="shared" ca="1" si="8"/>
        <v>314.28349047591439</v>
      </c>
      <c r="N71" s="134">
        <f t="shared" ca="1" si="8"/>
        <v>347.40378658925005</v>
      </c>
      <c r="O71" s="134">
        <f t="shared" ca="1" si="8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9">+SUM(H71:H72)</f>
        <v>144.38336269074406</v>
      </c>
      <c r="I73" s="55">
        <f t="shared" si="9"/>
        <v>158.09058392211767</v>
      </c>
      <c r="J73" s="56">
        <f t="shared" si="9"/>
        <v>173.73619092811771</v>
      </c>
      <c r="K73" s="145">
        <f t="shared" ca="1" si="9"/>
        <v>191.19683918614641</v>
      </c>
      <c r="L73" s="145">
        <f t="shared" ca="1" si="9"/>
        <v>210.71549964179448</v>
      </c>
      <c r="M73" s="145">
        <f t="shared" ca="1" si="9"/>
        <v>232.56978295217664</v>
      </c>
      <c r="N73" s="145">
        <f t="shared" ca="1" si="9"/>
        <v>257.07880207604501</v>
      </c>
      <c r="O73" s="145">
        <f t="shared" ca="1" si="9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 ca="1">+K310</f>
        <v>101.89686926219814</v>
      </c>
      <c r="L75" s="193">
        <f ca="1">+L310</f>
        <v>102.25037131335471</v>
      </c>
      <c r="M75" s="193">
        <f ca="1">+M310</f>
        <v>102.61458004154703</v>
      </c>
      <c r="N75" s="193">
        <f ca="1">+N310</f>
        <v>102.9884647971969</v>
      </c>
      <c r="O75" s="193">
        <f ca="1">+O310</f>
        <v>103.37104759455143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0">+H73/H75</f>
        <v>1.4308113800816931</v>
      </c>
      <c r="I76" s="126">
        <f t="shared" si="10"/>
        <v>1.5617690450035633</v>
      </c>
      <c r="J76" s="127">
        <f t="shared" si="10"/>
        <v>1.7107569352043521</v>
      </c>
      <c r="K76" s="200">
        <f t="shared" ca="1" si="10"/>
        <v>1.8763759924180214</v>
      </c>
      <c r="L76" s="200">
        <f t="shared" ca="1" si="10"/>
        <v>2.0607797989900636</v>
      </c>
      <c r="M76" s="200">
        <f t="shared" ca="1" si="10"/>
        <v>2.266439943115421</v>
      </c>
      <c r="N76" s="200">
        <f t="shared" ca="1" si="10"/>
        <v>2.4961902537558953</v>
      </c>
      <c r="O76" s="200">
        <f t="shared" ca="1" si="10"/>
        <v>2.7532847259533044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 ca="1">+K312</f>
        <v>106.89686926219814</v>
      </c>
      <c r="L78" s="193">
        <f ca="1">+L312</f>
        <v>107.25037131335471</v>
      </c>
      <c r="M78" s="193">
        <f ca="1">+M312</f>
        <v>107.61458004154703</v>
      </c>
      <c r="N78" s="193">
        <f ca="1">+N312</f>
        <v>107.9884647971969</v>
      </c>
      <c r="O78" s="193">
        <f ca="1">+O312</f>
        <v>108.37104759455143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1">+H73/H78</f>
        <v>1.3632630078415335</v>
      </c>
      <c r="I79" s="126">
        <f t="shared" si="11"/>
        <v>1.4882569611323133</v>
      </c>
      <c r="J79" s="127">
        <f t="shared" si="11"/>
        <v>1.6304812842353329</v>
      </c>
      <c r="K79" s="200">
        <f t="shared" ca="1" si="11"/>
        <v>1.7886102792886864</v>
      </c>
      <c r="L79" s="200">
        <f t="shared" ca="1" si="11"/>
        <v>1.9647064813057333</v>
      </c>
      <c r="M79" s="200">
        <f t="shared" ca="1" si="11"/>
        <v>2.1611363707630309</v>
      </c>
      <c r="N79" s="200">
        <f t="shared" ca="1" si="11"/>
        <v>2.3806135457045419</v>
      </c>
      <c r="O79" s="200">
        <f t="shared" ca="1" si="11"/>
        <v>2.6262542696152718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12">+H68</f>
        <v>194.19262194307487</v>
      </c>
      <c r="I82" s="53">
        <f t="shared" si="12"/>
        <v>211.32512989767895</v>
      </c>
      <c r="J82" s="54">
        <f t="shared" si="12"/>
        <v>230.9435756458019</v>
      </c>
      <c r="K82" s="197">
        <f t="shared" ca="1" si="12"/>
        <v>252.86253381791607</v>
      </c>
      <c r="L82" s="197">
        <f t="shared" ca="1" si="12"/>
        <v>277.39093896238802</v>
      </c>
      <c r="M82" s="197">
        <f t="shared" ca="1" si="12"/>
        <v>304.88363976098111</v>
      </c>
      <c r="N82" s="197">
        <f t="shared" ca="1" si="12"/>
        <v>335.74882621318835</v>
      </c>
      <c r="O82" s="197">
        <f t="shared" ca="1" si="12"/>
        <v>370.45674550698971</v>
      </c>
    </row>
    <row r="83" spans="2:17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314">
        <f ca="1">+K168</f>
        <v>19.962831617203911</v>
      </c>
      <c r="L83" s="314">
        <f ca="1">+L168</f>
        <v>22.254860432512512</v>
      </c>
      <c r="M83" s="314">
        <f ca="1">+M168</f>
        <v>24.836026834461958</v>
      </c>
      <c r="N83" s="314">
        <f ca="1">+N168</f>
        <v>27.747836877123014</v>
      </c>
      <c r="O83" s="314">
        <f ca="1">+O168</f>
        <v>31.038267866801853</v>
      </c>
      <c r="P83" s="143"/>
      <c r="Q83" s="81" t="s">
        <v>412</v>
      </c>
    </row>
    <row r="84" spans="2:17" ht="12.95" customHeight="1" x14ac:dyDescent="0.2">
      <c r="B84" s="1" t="s">
        <v>19</v>
      </c>
      <c r="H84" s="53">
        <f t="shared" ref="H84:O84" si="13">SUM(H82:H83)</f>
        <v>207.50177360272488</v>
      </c>
      <c r="I84" s="53">
        <f t="shared" si="13"/>
        <v>226.78794428043594</v>
      </c>
      <c r="J84" s="54">
        <f t="shared" si="13"/>
        <v>248.86755465114771</v>
      </c>
      <c r="K84" s="197">
        <f t="shared" ca="1" si="13"/>
        <v>272.82536543511998</v>
      </c>
      <c r="L84" s="197">
        <f t="shared" ca="1" si="13"/>
        <v>299.64579939490051</v>
      </c>
      <c r="M84" s="197">
        <f t="shared" ca="1" si="13"/>
        <v>329.71966659544307</v>
      </c>
      <c r="N84" s="197">
        <f t="shared" ca="1" si="13"/>
        <v>363.49666309031136</v>
      </c>
      <c r="O84" s="197">
        <f t="shared" ca="1" si="13"/>
        <v>401.49501337379155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4">+SUM(H84:H85)</f>
        <v>210.80177360272489</v>
      </c>
      <c r="I86" s="69">
        <f t="shared" si="14"/>
        <v>231.38794428043593</v>
      </c>
      <c r="J86" s="70">
        <f t="shared" si="14"/>
        <v>251.36755465114771</v>
      </c>
      <c r="K86" s="145">
        <f t="shared" ca="1" si="14"/>
        <v>272.82536543511998</v>
      </c>
      <c r="L86" s="145">
        <f t="shared" ca="1" si="14"/>
        <v>299.64579939490051</v>
      </c>
      <c r="M86" s="145">
        <f t="shared" ca="1" si="14"/>
        <v>329.71966659544307</v>
      </c>
      <c r="N86" s="145">
        <f t="shared" ca="1" si="14"/>
        <v>363.49666309031136</v>
      </c>
      <c r="O86" s="145">
        <f t="shared" ca="1" si="14"/>
        <v>401.49501337379155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71">
        <f ca="1">+K337</f>
        <v>7.2500000000000064E-2</v>
      </c>
      <c r="L89" s="61">
        <f t="shared" ref="L89:O89" ca="1" si="15">+L337</f>
        <v>7.5000000000000067E-2</v>
      </c>
      <c r="M89" s="61">
        <f t="shared" ca="1" si="15"/>
        <v>7.7500000000000069E-2</v>
      </c>
      <c r="N89" s="61">
        <f t="shared" ca="1" si="15"/>
        <v>8.0000000000000071E-2</v>
      </c>
      <c r="O89" s="61">
        <f t="shared" ca="1" si="15"/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71">
        <f ca="1">+K343</f>
        <v>0.44400000000000001</v>
      </c>
      <c r="L90" s="61">
        <f t="shared" ref="L90:O90" ca="1" si="16">+L343</f>
        <v>0.44600000000000001</v>
      </c>
      <c r="M90" s="61">
        <f t="shared" ca="1" si="16"/>
        <v>0.44800000000000001</v>
      </c>
      <c r="N90" s="61">
        <f t="shared" ca="1" si="16"/>
        <v>0.45</v>
      </c>
      <c r="O90" s="61">
        <f t="shared" ca="1" si="16"/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71">
        <f ca="1">+K349</f>
        <v>0.27300000000000002</v>
      </c>
      <c r="L91" s="61">
        <f t="shared" ref="L91:O91" ca="1" si="17">+L349</f>
        <v>0.27150000000000002</v>
      </c>
      <c r="M91" s="61">
        <f t="shared" ca="1" si="17"/>
        <v>0.27</v>
      </c>
      <c r="N91" s="61">
        <f t="shared" ca="1" si="17"/>
        <v>0.26850000000000002</v>
      </c>
      <c r="O91" s="61">
        <f t="shared" ca="1" si="17"/>
        <v>0.26700000000000002</v>
      </c>
    </row>
    <row r="92" spans="2:17" ht="12.95" customHeight="1" x14ac:dyDescent="0.2">
      <c r="B92" s="1" t="s">
        <v>47</v>
      </c>
      <c r="H92" s="63">
        <f t="shared" ref="H92:O92" si="18">+H86/H64</f>
        <v>0.17422744656671477</v>
      </c>
      <c r="I92" s="63">
        <f t="shared" si="18"/>
        <v>0.17956985466122871</v>
      </c>
      <c r="J92" s="64">
        <f t="shared" si="18"/>
        <v>0.18231321346059967</v>
      </c>
      <c r="K92" s="190">
        <f t="shared" ca="1" si="18"/>
        <v>0.18449999999999991</v>
      </c>
      <c r="L92" s="63">
        <f t="shared" ca="1" si="18"/>
        <v>0.18849999999999995</v>
      </c>
      <c r="M92" s="63">
        <f t="shared" ca="1" si="18"/>
        <v>0.19249999999999992</v>
      </c>
      <c r="N92" s="63">
        <f t="shared" ca="1" si="18"/>
        <v>0.19649999999999995</v>
      </c>
      <c r="O92" s="63">
        <f t="shared" ca="1" si="18"/>
        <v>0.20049999999999993</v>
      </c>
    </row>
    <row r="93" spans="2:17" ht="12.95" customHeight="1" x14ac:dyDescent="0.2">
      <c r="B93" s="1" t="s">
        <v>152</v>
      </c>
      <c r="I93" s="63">
        <f t="shared" ref="I93:O93" si="19">+I86/H86-1</f>
        <v>9.7656534505765391E-2</v>
      </c>
      <c r="J93" s="64">
        <f t="shared" si="19"/>
        <v>8.6346807880781418E-2</v>
      </c>
      <c r="K93" s="190">
        <f t="shared" ca="1" si="19"/>
        <v>8.536428185312861E-2</v>
      </c>
      <c r="L93" s="63">
        <f t="shared" ca="1" si="19"/>
        <v>9.8306233062330994E-2</v>
      </c>
      <c r="M93" s="63">
        <f t="shared" ca="1" si="19"/>
        <v>0.10036472148541109</v>
      </c>
      <c r="N93" s="63">
        <f t="shared" ca="1" si="19"/>
        <v>0.10244155844155856</v>
      </c>
      <c r="O93" s="63">
        <f t="shared" ca="1" si="19"/>
        <v>0.10453562340966926</v>
      </c>
    </row>
    <row r="94" spans="2:17" ht="12.95" customHeight="1" x14ac:dyDescent="0.2">
      <c r="B94" s="1" t="s">
        <v>136</v>
      </c>
      <c r="I94" s="63">
        <f t="shared" ref="I94:O94" si="20">+I73/H73-1</f>
        <v>9.493629304598783E-2</v>
      </c>
      <c r="J94" s="64">
        <f t="shared" si="20"/>
        <v>9.896609031254977E-2</v>
      </c>
      <c r="K94" s="190">
        <f t="shared" ca="1" si="20"/>
        <v>0.10050092709384262</v>
      </c>
      <c r="L94" s="63">
        <f t="shared" ca="1" si="20"/>
        <v>0.10208673186613204</v>
      </c>
      <c r="M94" s="63">
        <f t="shared" ca="1" si="20"/>
        <v>0.10371464532762564</v>
      </c>
      <c r="N94" s="63">
        <f t="shared" ca="1" si="20"/>
        <v>0.10538350602884705</v>
      </c>
      <c r="O94" s="63">
        <f t="shared" ca="1" si="20"/>
        <v>0.10709216065073179</v>
      </c>
    </row>
    <row r="95" spans="2:17" ht="12.95" customHeight="1" x14ac:dyDescent="0.2">
      <c r="B95" s="1" t="s">
        <v>137</v>
      </c>
      <c r="I95" s="63">
        <f t="shared" ref="I95:O95" si="21">+I79/H79-1</f>
        <v>9.168733587855793E-2</v>
      </c>
      <c r="J95" s="64">
        <f t="shared" si="21"/>
        <v>9.5564359393159437E-2</v>
      </c>
      <c r="K95" s="190">
        <f t="shared" ca="1" si="21"/>
        <v>9.6983017580305031E-2</v>
      </c>
      <c r="L95" s="63">
        <f t="shared" ca="1" si="21"/>
        <v>9.8454204393300548E-2</v>
      </c>
      <c r="M95" s="63">
        <f t="shared" ca="1" si="21"/>
        <v>9.9979254573818732E-2</v>
      </c>
      <c r="N95" s="63">
        <f t="shared" ca="1" si="21"/>
        <v>0.10155637465118428</v>
      </c>
      <c r="O95" s="63">
        <f t="shared" ca="1" si="21"/>
        <v>0.1031837882103761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2">+H83/H64</f>
        <v>1.0999999999999999E-2</v>
      </c>
      <c r="I97" s="65">
        <f t="shared" si="22"/>
        <v>1.2E-2</v>
      </c>
      <c r="J97" s="167">
        <f t="shared" si="22"/>
        <v>1.2999999999999999E-2</v>
      </c>
      <c r="K97" s="76">
        <f t="shared" ca="1" si="22"/>
        <v>1.35E-2</v>
      </c>
      <c r="L97" s="76">
        <f t="shared" ca="1" si="22"/>
        <v>1.4E-2</v>
      </c>
      <c r="M97" s="76">
        <f t="shared" ca="1" si="22"/>
        <v>1.4500000000000001E-2</v>
      </c>
      <c r="N97" s="76">
        <f t="shared" ca="1" si="22"/>
        <v>1.5000000000000001E-2</v>
      </c>
      <c r="O97" s="76">
        <f t="shared" ca="1" si="22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+J103+K196</f>
        <v>889.03639935826141</v>
      </c>
      <c r="L103" s="118">
        <f ca="1">+K103+L196</f>
        <v>1082.9108464869619</v>
      </c>
      <c r="M103" s="118">
        <f ca="1">+L103+M196</f>
        <v>1297.0592964996938</v>
      </c>
      <c r="N103" s="118">
        <f ca="1">+M103+N196</f>
        <v>1533.9327787126406</v>
      </c>
      <c r="O103" s="118">
        <f ca="1">+N103+O196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 ca="1">+(K150/365)*K145</f>
        <v>121.53930969378332</v>
      </c>
      <c r="L104" s="135">
        <f ca="1">+(L150/365)*L145</f>
        <v>130.65475792081708</v>
      </c>
      <c r="M104" s="135">
        <f ca="1">+(M150/365)*M145</f>
        <v>140.78050165968043</v>
      </c>
      <c r="N104" s="135">
        <f ca="1">+(N150/365)*N145</f>
        <v>152.04294179245485</v>
      </c>
      <c r="O104" s="135">
        <f ca="1">+(O150/365)*O145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 ca="1">+K146/K151</f>
        <v>164.43458339504261</v>
      </c>
      <c r="L105" s="137">
        <f ca="1">+L146/L151</f>
        <v>176.13132399445618</v>
      </c>
      <c r="M105" s="137">
        <f ca="1">+M146/M151</f>
        <v>189.09636982928276</v>
      </c>
      <c r="N105" s="137">
        <f ca="1">+N146/N151</f>
        <v>203.4841370989021</v>
      </c>
      <c r="O105" s="137">
        <f ca="1">+O146/O151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 ca="1">+K152*K145</f>
        <v>38.446934966466785</v>
      </c>
      <c r="L106" s="140">
        <f ca="1">+L152*L145</f>
        <v>41.330455088951801</v>
      </c>
      <c r="M106" s="140">
        <f ca="1">+M152*M145</f>
        <v>44.53356535834557</v>
      </c>
      <c r="N106" s="140">
        <f ca="1">+N152*N145</f>
        <v>48.096250587013216</v>
      </c>
      <c r="O106" s="140">
        <f ca="1">+O152*O145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3">+SUM(H103:H106)</f>
        <v>675.32399663851754</v>
      </c>
      <c r="I107" s="147">
        <f t="shared" si="23"/>
        <v>837.46596294440201</v>
      </c>
      <c r="J107" s="123">
        <f t="shared" si="23"/>
        <v>1016.3200283350651</v>
      </c>
      <c r="K107" s="154">
        <f t="shared" ca="1" si="23"/>
        <v>1213.4572274135542</v>
      </c>
      <c r="L107" s="147">
        <f t="shared" ca="1" si="23"/>
        <v>1431.0273834911868</v>
      </c>
      <c r="M107" s="147">
        <f t="shared" ca="1" si="23"/>
        <v>1671.4697333470026</v>
      </c>
      <c r="N107" s="147">
        <f t="shared" ca="1" si="23"/>
        <v>1937.5561081910107</v>
      </c>
      <c r="O107" s="147">
        <f t="shared" ca="1" si="23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300">
        <f ca="1">+K270</f>
        <v>7.5793538046166198</v>
      </c>
      <c r="L109" s="300">
        <f ca="1">+L270</f>
        <v>9.1689866926532275</v>
      </c>
      <c r="M109" s="300">
        <f ca="1">+M270</f>
        <v>10.881816129512675</v>
      </c>
      <c r="N109" s="300">
        <f ca="1">+N270</f>
        <v>12.731671921320874</v>
      </c>
      <c r="O109" s="300">
        <f ca="1">+O270</f>
        <v>14.734140815953253</v>
      </c>
      <c r="Q109" s="81" t="s">
        <v>394</v>
      </c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 ca="1">+K153*K145</f>
        <v>59.149130717641221</v>
      </c>
      <c r="L111" s="137">
        <f ca="1">+L153*L145</f>
        <v>63.585315521464317</v>
      </c>
      <c r="M111" s="137">
        <f ca="1">+M153*M145</f>
        <v>68.513177474377812</v>
      </c>
      <c r="N111" s="137">
        <f ca="1">+N153*N145</f>
        <v>73.994231672328041</v>
      </c>
      <c r="O111" s="137">
        <f ca="1">+O153*O145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4">+SUM(H107:H111)</f>
        <v>737.15420182016749</v>
      </c>
      <c r="I112" s="145">
        <f t="shared" si="24"/>
        <v>903.73053547447171</v>
      </c>
      <c r="J112" s="146">
        <f t="shared" si="24"/>
        <v>1087.5713585035742</v>
      </c>
      <c r="K112" s="145">
        <f t="shared" ca="1" si="24"/>
        <v>1290.1857119358119</v>
      </c>
      <c r="L112" s="145">
        <f t="shared" ca="1" si="24"/>
        <v>1513.7816857053044</v>
      </c>
      <c r="M112" s="145">
        <f t="shared" ca="1" si="24"/>
        <v>1760.8647269508929</v>
      </c>
      <c r="N112" s="145">
        <f t="shared" ca="1" si="24"/>
        <v>2034.2820117846595</v>
      </c>
      <c r="O112" s="145">
        <f t="shared" ca="1" si="24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 ca="1">+(K155/365)*K146</f>
        <v>67.575856189743533</v>
      </c>
      <c r="L114" s="137">
        <f ca="1">+(L155/365)*L146</f>
        <v>72.382735888132672</v>
      </c>
      <c r="M114" s="137">
        <f ca="1">+(M155/365)*M146</f>
        <v>77.710836916143606</v>
      </c>
      <c r="N114" s="137">
        <f ca="1">+(N155/365)*N146</f>
        <v>83.623617985850174</v>
      </c>
      <c r="O114" s="137">
        <f ca="1">+(O155/365)*O146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 ca="1">+SUM(K146:K147)*K156</f>
        <v>71.100212579140646</v>
      </c>
      <c r="L115" s="137">
        <f ca="1">+SUM(L146:L147)*L156</f>
        <v>76.110033046304778</v>
      </c>
      <c r="M115" s="137">
        <f ca="1">+SUM(M146:M147)*M156</f>
        <v>81.660856231710923</v>
      </c>
      <c r="N115" s="137">
        <f ca="1">+SUM(N146:N147)*N156</f>
        <v>87.818204004510747</v>
      </c>
      <c r="O115" s="137">
        <f ca="1">+SUM(O146:O147)*O156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 ca="1">+K145*K157</f>
        <v>73.936413397051524</v>
      </c>
      <c r="L116" s="140">
        <f ca="1">+L145*L157</f>
        <v>79.481644401830408</v>
      </c>
      <c r="M116" s="140">
        <f ca="1">+M145*M157</f>
        <v>85.641471842972265</v>
      </c>
      <c r="N116" s="140">
        <f ca="1">+N145*N157</f>
        <v>92.492789590410041</v>
      </c>
      <c r="O116" s="140">
        <f ca="1">+O145*O157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5">SUM(H114:H116)</f>
        <v>175.29699116643044</v>
      </c>
      <c r="I117" s="147">
        <f t="shared" si="25"/>
        <v>186.21789694050051</v>
      </c>
      <c r="J117" s="148">
        <f t="shared" si="25"/>
        <v>198.7466131689653</v>
      </c>
      <c r="K117" s="149">
        <f t="shared" ca="1" si="25"/>
        <v>212.61248216593572</v>
      </c>
      <c r="L117" s="147">
        <f t="shared" ca="1" si="25"/>
        <v>227.97441333626784</v>
      </c>
      <c r="M117" s="147">
        <f t="shared" ca="1" si="25"/>
        <v>245.01316499082679</v>
      </c>
      <c r="N117" s="147">
        <f t="shared" ca="1" si="25"/>
        <v>263.93461158077093</v>
      </c>
      <c r="O117" s="147">
        <f t="shared" ca="1" si="25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 ca="1">+K145*K158</f>
        <v>14.787282679410305</v>
      </c>
      <c r="L119" s="137">
        <f ca="1">+L145*L158</f>
        <v>15.896328880366079</v>
      </c>
      <c r="M119" s="137">
        <f ca="1">+M145*M158</f>
        <v>17.128294368594453</v>
      </c>
      <c r="N119" s="137">
        <f ca="1">+N145*N158</f>
        <v>18.49855791808201</v>
      </c>
      <c r="O119" s="137">
        <f ca="1">+O145*O158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+K231</f>
        <v>0</v>
      </c>
      <c r="L121" s="152">
        <f ca="1">+L231</f>
        <v>0</v>
      </c>
      <c r="M121" s="152">
        <f ca="1">+M231</f>
        <v>0</v>
      </c>
      <c r="N121" s="152">
        <f ca="1">+N231</f>
        <v>0</v>
      </c>
      <c r="O121" s="152">
        <f ca="1">+O231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+K242</f>
        <v>50</v>
      </c>
      <c r="L122" s="153">
        <f>+L242</f>
        <v>50</v>
      </c>
      <c r="M122" s="153">
        <f>+M242</f>
        <v>50</v>
      </c>
      <c r="N122" s="153">
        <f>+N242</f>
        <v>50</v>
      </c>
      <c r="O122" s="153">
        <f>+O242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6">SUM(H121:H122)</f>
        <v>50</v>
      </c>
      <c r="I123" s="154">
        <f t="shared" si="26"/>
        <v>50</v>
      </c>
      <c r="J123" s="123">
        <f t="shared" si="26"/>
        <v>50</v>
      </c>
      <c r="K123" s="154">
        <f t="shared" ca="1" si="26"/>
        <v>50</v>
      </c>
      <c r="L123" s="154">
        <f t="shared" ca="1" si="26"/>
        <v>50</v>
      </c>
      <c r="M123" s="154">
        <f t="shared" ca="1" si="26"/>
        <v>50</v>
      </c>
      <c r="N123" s="154">
        <f t="shared" ca="1" si="26"/>
        <v>50</v>
      </c>
      <c r="O123" s="154">
        <f t="shared" ca="1" si="26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300">
        <f ca="1">+K282</f>
        <v>166.95493687866619</v>
      </c>
      <c r="L125" s="300">
        <f ca="1">+L282</f>
        <v>178.90020861716587</v>
      </c>
      <c r="M125" s="300">
        <f ca="1">+M282</f>
        <v>191.77123891539929</v>
      </c>
      <c r="N125" s="300">
        <f ca="1">+N282</f>
        <v>205.67195163749136</v>
      </c>
      <c r="O125" s="300">
        <f ca="1">+O282</f>
        <v>220.71947315915605</v>
      </c>
      <c r="Q125" s="81" t="s">
        <v>395</v>
      </c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300">
        <f>+K291</f>
        <v>-30</v>
      </c>
      <c r="L126" s="300">
        <f>+L291</f>
        <v>-35</v>
      </c>
      <c r="M126" s="300">
        <f>+M291</f>
        <v>-40</v>
      </c>
      <c r="N126" s="300">
        <f>+N291</f>
        <v>-45</v>
      </c>
      <c r="O126" s="300">
        <f>+O291</f>
        <v>-50</v>
      </c>
      <c r="Q126" s="81" t="s">
        <v>398</v>
      </c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300">
        <f ca="1">+K300</f>
        <v>875.83101021179982</v>
      </c>
      <c r="L127" s="300">
        <f t="shared" ref="L127:O127" ca="1" si="27">+L300</f>
        <v>1076.0107348715044</v>
      </c>
      <c r="M127" s="300">
        <f t="shared" ca="1" si="27"/>
        <v>1296.9520286760721</v>
      </c>
      <c r="N127" s="300">
        <f t="shared" ca="1" si="27"/>
        <v>1541.1768906483151</v>
      </c>
      <c r="O127" s="300">
        <f t="shared" ca="1" si="27"/>
        <v>1811.5563207737921</v>
      </c>
      <c r="Q127" s="81" t="s">
        <v>399</v>
      </c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8">+SUM(H117,H119,H123,H125:H127)</f>
        <v>737.15420182016749</v>
      </c>
      <c r="I128" s="155">
        <f t="shared" si="28"/>
        <v>903.73053547447182</v>
      </c>
      <c r="J128" s="156">
        <f t="shared" si="28"/>
        <v>1087.5713585035739</v>
      </c>
      <c r="K128" s="155">
        <f t="shared" ca="1" si="28"/>
        <v>1290.1857119358119</v>
      </c>
      <c r="L128" s="155">
        <f t="shared" ca="1" si="28"/>
        <v>1513.7816857053042</v>
      </c>
      <c r="M128" s="155">
        <f t="shared" ca="1" si="28"/>
        <v>1760.8647269508926</v>
      </c>
      <c r="N128" s="155">
        <f t="shared" ca="1" si="28"/>
        <v>2034.2820117846593</v>
      </c>
      <c r="O128" s="155">
        <f t="shared" ca="1" si="28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x14ac:dyDescent="0.2">
      <c r="B130" s="21" t="s">
        <v>44</v>
      </c>
      <c r="H130" s="143"/>
      <c r="I130" s="143"/>
      <c r="J130" s="124"/>
      <c r="K130" s="136"/>
      <c r="L130" s="137"/>
      <c r="M130" s="137"/>
      <c r="N130" s="137"/>
      <c r="O130" s="137"/>
    </row>
    <row r="131" spans="2:15" ht="12.95" customHeight="1" x14ac:dyDescent="0.2">
      <c r="B131" s="417" t="s">
        <v>372</v>
      </c>
      <c r="C131" s="410"/>
      <c r="D131" s="410"/>
      <c r="E131" s="410"/>
      <c r="F131" s="410"/>
      <c r="G131" s="410"/>
      <c r="H131" s="411">
        <v>14.519074537800002</v>
      </c>
      <c r="I131" s="411">
        <v>16.751382247986751</v>
      </c>
      <c r="J131" s="412">
        <v>19.302746621141658</v>
      </c>
      <c r="K131" s="413">
        <f ca="1">+K132*K145</f>
        <v>21.441559885144944</v>
      </c>
      <c r="L131" s="413">
        <f t="shared" ref="L131:O131" ca="1" si="29">+L132*L145</f>
        <v>23.84449332054912</v>
      </c>
      <c r="M131" s="413">
        <f t="shared" ca="1" si="29"/>
        <v>26.548856271321402</v>
      </c>
      <c r="N131" s="413">
        <f t="shared" ca="1" si="29"/>
        <v>29.597692668931213</v>
      </c>
      <c r="O131" s="422">
        <f t="shared" ca="1" si="29"/>
        <v>33.040736761434232</v>
      </c>
    </row>
    <row r="132" spans="2:15" ht="12.95" customHeight="1" x14ac:dyDescent="0.2">
      <c r="B132" s="418" t="s">
        <v>17</v>
      </c>
      <c r="C132" s="401"/>
      <c r="D132" s="401"/>
      <c r="E132" s="401"/>
      <c r="F132" s="401"/>
      <c r="G132" s="401"/>
      <c r="H132" s="405">
        <f>+H131/H145</f>
        <v>1.2E-2</v>
      </c>
      <c r="I132" s="405">
        <f>+I131/I145</f>
        <v>1.3000000000000001E-2</v>
      </c>
      <c r="J132" s="406">
        <f>+J131/J145</f>
        <v>1.4E-2</v>
      </c>
      <c r="K132" s="407">
        <v>1.4500000000000001E-2</v>
      </c>
      <c r="L132" s="408">
        <v>1.5000000000000001E-2</v>
      </c>
      <c r="M132" s="408">
        <v>1.5500000000000002E-2</v>
      </c>
      <c r="N132" s="408">
        <v>1.6E-2</v>
      </c>
      <c r="O132" s="423">
        <v>1.6500000000000001E-2</v>
      </c>
    </row>
    <row r="133" spans="2:15" ht="12.95" customHeight="1" x14ac:dyDescent="0.2">
      <c r="B133" s="419" t="s">
        <v>373</v>
      </c>
      <c r="C133" s="401"/>
      <c r="D133" s="401"/>
      <c r="E133" s="401"/>
      <c r="F133" s="401"/>
      <c r="G133" s="401"/>
      <c r="H133" s="402">
        <v>13.30915165965</v>
      </c>
      <c r="I133" s="402">
        <v>13.30915165965</v>
      </c>
      <c r="J133" s="403">
        <v>13.30915165965</v>
      </c>
      <c r="K133" s="404">
        <f ca="1">+K134*K145</f>
        <v>19.962831617203911</v>
      </c>
      <c r="L133" s="404">
        <f t="shared" ref="L133:O133" ca="1" si="30">+L134*L145</f>
        <v>22.254860432512512</v>
      </c>
      <c r="M133" s="404">
        <f t="shared" ca="1" si="30"/>
        <v>24.836026834461958</v>
      </c>
      <c r="N133" s="404">
        <f t="shared" ca="1" si="30"/>
        <v>27.747836877123014</v>
      </c>
      <c r="O133" s="424">
        <f t="shared" ca="1" si="30"/>
        <v>31.038267866801853</v>
      </c>
    </row>
    <row r="134" spans="2:15" ht="12.95" customHeight="1" x14ac:dyDescent="0.2">
      <c r="B134" s="418" t="s">
        <v>17</v>
      </c>
      <c r="C134" s="401"/>
      <c r="D134" s="401"/>
      <c r="E134" s="401"/>
      <c r="F134" s="401"/>
      <c r="G134" s="401"/>
      <c r="H134" s="405">
        <f>+H133/H145</f>
        <v>1.0999999999999999E-2</v>
      </c>
      <c r="I134" s="405">
        <f>+I133/I145</f>
        <v>1.0328638497652583E-2</v>
      </c>
      <c r="J134" s="406">
        <f>+J133/J145</f>
        <v>9.6529331753762437E-3</v>
      </c>
      <c r="K134" s="407">
        <v>1.35E-2</v>
      </c>
      <c r="L134" s="408">
        <v>1.4E-2</v>
      </c>
      <c r="M134" s="408">
        <v>1.4500000000000001E-2</v>
      </c>
      <c r="N134" s="408">
        <v>1.5000000000000001E-2</v>
      </c>
      <c r="O134" s="423">
        <v>1.5500000000000002E-2</v>
      </c>
    </row>
    <row r="135" spans="2:15" ht="12.95" customHeight="1" x14ac:dyDescent="0.2">
      <c r="B135" s="419" t="s">
        <v>376</v>
      </c>
      <c r="C135" s="401"/>
      <c r="D135" s="401"/>
      <c r="E135" s="401"/>
      <c r="F135" s="401"/>
      <c r="G135" s="401"/>
      <c r="H135" s="402">
        <v>0</v>
      </c>
      <c r="I135" s="402">
        <v>0</v>
      </c>
      <c r="J135" s="403">
        <v>0</v>
      </c>
      <c r="K135" s="409">
        <v>0</v>
      </c>
      <c r="L135" s="409">
        <v>0</v>
      </c>
      <c r="M135" s="409">
        <v>0</v>
      </c>
      <c r="N135" s="409">
        <v>0</v>
      </c>
      <c r="O135" s="403">
        <v>0</v>
      </c>
    </row>
    <row r="136" spans="2:15" ht="12.95" customHeight="1" x14ac:dyDescent="0.2">
      <c r="B136" s="419" t="s">
        <v>377</v>
      </c>
      <c r="C136" s="401"/>
      <c r="D136" s="401"/>
      <c r="E136" s="401"/>
      <c r="F136" s="401"/>
      <c r="G136" s="401"/>
      <c r="H136" s="402">
        <v>9.0919467450000013</v>
      </c>
      <c r="I136" s="402">
        <v>9.6829232834249996</v>
      </c>
      <c r="J136" s="403">
        <v>10.360727913264752</v>
      </c>
      <c r="K136" s="404">
        <f ca="1">+K137*K145</f>
        <v>11.111880686976447</v>
      </c>
      <c r="L136" s="404">
        <f t="shared" ref="L136:O136" ca="1" si="31">+L137*L145</f>
        <v>11.945271738499681</v>
      </c>
      <c r="M136" s="404">
        <f t="shared" ca="1" si="31"/>
        <v>12.871030298233407</v>
      </c>
      <c r="N136" s="404">
        <f t="shared" ca="1" si="31"/>
        <v>13.900712722092081</v>
      </c>
      <c r="O136" s="424">
        <f t="shared" ca="1" si="31"/>
        <v>15.047521521664677</v>
      </c>
    </row>
    <row r="137" spans="2:15" ht="12.95" customHeight="1" x14ac:dyDescent="0.2">
      <c r="B137" s="418" t="s">
        <v>17</v>
      </c>
      <c r="C137" s="401"/>
      <c r="D137" s="401"/>
      <c r="E137" s="401"/>
      <c r="F137" s="401"/>
      <c r="G137" s="401"/>
      <c r="H137" s="405">
        <f>+H136/H145</f>
        <v>7.5144845255771982E-3</v>
      </c>
      <c r="I137" s="405">
        <f>+I136/I145</f>
        <v>7.5144845255771973E-3</v>
      </c>
      <c r="J137" s="406">
        <f>+J136/J145</f>
        <v>7.5144845255771982E-3</v>
      </c>
      <c r="K137" s="407">
        <v>7.5144845255771982E-3</v>
      </c>
      <c r="L137" s="408">
        <v>7.5144845255771982E-3</v>
      </c>
      <c r="M137" s="408">
        <v>7.5144845255771982E-3</v>
      </c>
      <c r="N137" s="408">
        <v>7.5144845255771982E-3</v>
      </c>
      <c r="O137" s="423">
        <v>7.5144845255771982E-3</v>
      </c>
    </row>
    <row r="138" spans="2:15" ht="12.95" customHeight="1" x14ac:dyDescent="0.2">
      <c r="B138" s="420" t="s">
        <v>113</v>
      </c>
      <c r="C138" s="401"/>
      <c r="D138" s="401"/>
      <c r="E138" s="401"/>
      <c r="F138" s="401"/>
      <c r="G138" s="401"/>
      <c r="H138" s="402">
        <v>5</v>
      </c>
      <c r="I138" s="402">
        <v>5</v>
      </c>
      <c r="J138" s="403">
        <v>5</v>
      </c>
      <c r="K138" s="409">
        <v>5</v>
      </c>
      <c r="L138" s="409">
        <v>5</v>
      </c>
      <c r="M138" s="409">
        <v>5</v>
      </c>
      <c r="N138" s="409">
        <v>5</v>
      </c>
      <c r="O138" s="403">
        <v>5</v>
      </c>
    </row>
    <row r="139" spans="2:15" ht="12.95" customHeight="1" x14ac:dyDescent="0.2">
      <c r="B139" s="419" t="s">
        <v>374</v>
      </c>
      <c r="C139" s="401"/>
      <c r="D139" s="401"/>
      <c r="E139" s="401"/>
      <c r="F139" s="401"/>
      <c r="G139" s="401"/>
      <c r="H139" s="402">
        <v>7.2191681345372034</v>
      </c>
      <c r="I139" s="402">
        <v>7.9045291961058837</v>
      </c>
      <c r="J139" s="403">
        <v>8.6868095464058861</v>
      </c>
      <c r="K139" s="404">
        <f ca="1">+K140*K73</f>
        <v>9.5598419593073203</v>
      </c>
      <c r="L139" s="404">
        <f t="shared" ref="L139:O139" ca="1" si="32">+L140*L73</f>
        <v>10.535774982089725</v>
      </c>
      <c r="M139" s="404">
        <f t="shared" ca="1" si="32"/>
        <v>11.628489147608832</v>
      </c>
      <c r="N139" s="404">
        <f t="shared" ca="1" si="32"/>
        <v>12.853940103802252</v>
      </c>
      <c r="O139" s="424">
        <f t="shared" ca="1" si="32"/>
        <v>14.230496322393527</v>
      </c>
    </row>
    <row r="140" spans="2:15" ht="12.95" customHeight="1" x14ac:dyDescent="0.2">
      <c r="B140" s="421" t="s">
        <v>375</v>
      </c>
      <c r="C140" s="414"/>
      <c r="D140" s="414"/>
      <c r="E140" s="414"/>
      <c r="F140" s="414"/>
      <c r="G140" s="414"/>
      <c r="H140" s="415">
        <f>H139/H73</f>
        <v>0.05</v>
      </c>
      <c r="I140" s="415">
        <f t="shared" ref="I140:J140" si="33">I139/I73</f>
        <v>0.05</v>
      </c>
      <c r="J140" s="416">
        <f t="shared" si="33"/>
        <v>0.05</v>
      </c>
      <c r="K140" s="415">
        <f>+J140</f>
        <v>0.05</v>
      </c>
      <c r="L140" s="415">
        <f t="shared" ref="L140:O140" si="34">+K140</f>
        <v>0.05</v>
      </c>
      <c r="M140" s="415">
        <f t="shared" si="34"/>
        <v>0.05</v>
      </c>
      <c r="N140" s="415">
        <f t="shared" si="34"/>
        <v>0.05</v>
      </c>
      <c r="O140" s="416">
        <f t="shared" si="34"/>
        <v>0.05</v>
      </c>
    </row>
    <row r="141" spans="2:15" ht="12.95" customHeight="1" x14ac:dyDescent="0.2">
      <c r="H141" s="143"/>
      <c r="I141" s="143"/>
      <c r="J141" s="124"/>
      <c r="K141" s="136"/>
      <c r="L141" s="137"/>
      <c r="M141" s="137"/>
      <c r="N141" s="137"/>
      <c r="O141" s="137"/>
    </row>
    <row r="142" spans="2:15" ht="12.95" hidden="1" customHeight="1" outlineLevel="1" x14ac:dyDescent="0.2">
      <c r="B142" s="1" t="s">
        <v>65</v>
      </c>
      <c r="H142" s="137">
        <f t="shared" ref="H142:O142" si="35">+IF(ABS(H112-H128)&gt;0.001,H112-H128,0)</f>
        <v>0</v>
      </c>
      <c r="I142" s="137">
        <f t="shared" si="35"/>
        <v>0</v>
      </c>
      <c r="J142" s="157">
        <f t="shared" si="35"/>
        <v>0</v>
      </c>
      <c r="K142" s="136">
        <f t="shared" ca="1" si="35"/>
        <v>0</v>
      </c>
      <c r="L142" s="137">
        <f t="shared" ca="1" si="35"/>
        <v>0</v>
      </c>
      <c r="M142" s="137">
        <f t="shared" ca="1" si="35"/>
        <v>0</v>
      </c>
      <c r="N142" s="137">
        <f t="shared" ca="1" si="35"/>
        <v>0</v>
      </c>
      <c r="O142" s="137">
        <f t="shared" ca="1" si="35"/>
        <v>0</v>
      </c>
    </row>
    <row r="143" spans="2:15" ht="12.95" hidden="1" customHeight="1" outlineLevel="1" x14ac:dyDescent="0.2">
      <c r="H143" s="143"/>
      <c r="I143" s="143"/>
      <c r="J143" s="124"/>
      <c r="K143" s="144"/>
      <c r="L143" s="143"/>
      <c r="M143" s="143"/>
      <c r="N143" s="143"/>
      <c r="O143" s="143"/>
    </row>
    <row r="144" spans="2:15" ht="12.95" hidden="1" customHeight="1" outlineLevel="1" x14ac:dyDescent="0.2">
      <c r="B144" s="28" t="s">
        <v>66</v>
      </c>
      <c r="C144" s="20"/>
      <c r="D144" s="20"/>
      <c r="E144" s="20"/>
      <c r="F144" s="20"/>
      <c r="G144" s="20"/>
      <c r="H144" s="158"/>
      <c r="I144" s="158"/>
      <c r="J144" s="159"/>
      <c r="K144" s="158"/>
      <c r="L144" s="158"/>
      <c r="M144" s="158"/>
      <c r="N144" s="158"/>
      <c r="O144" s="158"/>
    </row>
    <row r="145" spans="2:15" ht="12.95" hidden="1" customHeight="1" outlineLevel="1" x14ac:dyDescent="0.2">
      <c r="B145" s="1" t="str">
        <f>+B64</f>
        <v>Revenue</v>
      </c>
      <c r="H145" s="137">
        <f t="shared" ref="H145:O145" si="36">+H64</f>
        <v>1209.9228781500001</v>
      </c>
      <c r="I145" s="137">
        <f t="shared" si="36"/>
        <v>1288.5678652297499</v>
      </c>
      <c r="J145" s="157">
        <f t="shared" si="36"/>
        <v>1378.7676157958326</v>
      </c>
      <c r="K145" s="136">
        <f t="shared" ca="1" si="36"/>
        <v>1478.7282679410305</v>
      </c>
      <c r="L145" s="137">
        <f t="shared" ca="1" si="36"/>
        <v>1589.6328880366079</v>
      </c>
      <c r="M145" s="137">
        <f t="shared" ca="1" si="36"/>
        <v>1712.8294368594452</v>
      </c>
      <c r="N145" s="137">
        <f t="shared" ca="1" si="36"/>
        <v>1849.8557918082008</v>
      </c>
      <c r="O145" s="137">
        <f t="shared" ca="1" si="36"/>
        <v>2002.4688946323774</v>
      </c>
    </row>
    <row r="146" spans="2:15" ht="12.95" hidden="1" customHeight="1" outlineLevel="1" x14ac:dyDescent="0.2">
      <c r="B146" s="1" t="str">
        <f>+B65</f>
        <v>Cost of Goods Sold (Cost of Sales)</v>
      </c>
      <c r="H146" s="137">
        <f t="shared" ref="H146:O146" si="37">-H65</f>
        <v>679.97665752030014</v>
      </c>
      <c r="I146" s="137">
        <f t="shared" si="37"/>
        <v>721.59800452866</v>
      </c>
      <c r="J146" s="157">
        <f t="shared" si="37"/>
        <v>769.35232961407462</v>
      </c>
      <c r="K146" s="136">
        <f t="shared" ca="1" si="37"/>
        <v>822.17291697521307</v>
      </c>
      <c r="L146" s="137">
        <f t="shared" ca="1" si="37"/>
        <v>880.65661997228085</v>
      </c>
      <c r="M146" s="137">
        <f t="shared" ca="1" si="37"/>
        <v>945.48184914641388</v>
      </c>
      <c r="N146" s="137">
        <f t="shared" ca="1" si="37"/>
        <v>1017.4206854945105</v>
      </c>
      <c r="O146" s="137">
        <f t="shared" ca="1" si="37"/>
        <v>1097.3529542585429</v>
      </c>
    </row>
    <row r="147" spans="2:15" ht="12.95" hidden="1" customHeight="1" outlineLevel="1" x14ac:dyDescent="0.2">
      <c r="B147" s="20" t="str">
        <f>+B67</f>
        <v>SG&amp;A</v>
      </c>
      <c r="C147" s="20"/>
      <c r="D147" s="20"/>
      <c r="E147" s="20"/>
      <c r="F147" s="20"/>
      <c r="G147" s="20"/>
      <c r="H147" s="140">
        <f t="shared" ref="H147:O147" si="38">-H67</f>
        <v>335.75359868662508</v>
      </c>
      <c r="I147" s="140">
        <f t="shared" si="38"/>
        <v>355.64473080341099</v>
      </c>
      <c r="J147" s="122">
        <f t="shared" si="38"/>
        <v>378.47171053595611</v>
      </c>
      <c r="K147" s="140">
        <f t="shared" ca="1" si="38"/>
        <v>403.69281714790134</v>
      </c>
      <c r="L147" s="140">
        <f t="shared" ca="1" si="38"/>
        <v>431.58532910193907</v>
      </c>
      <c r="M147" s="140">
        <f t="shared" ca="1" si="38"/>
        <v>462.46394795205021</v>
      </c>
      <c r="N147" s="140">
        <f t="shared" ca="1" si="38"/>
        <v>496.68628010050196</v>
      </c>
      <c r="O147" s="140">
        <f t="shared" ca="1" si="38"/>
        <v>534.65919486684481</v>
      </c>
    </row>
    <row r="148" spans="2:15" ht="12.95" hidden="1" customHeight="1" outlineLevel="1" x14ac:dyDescent="0.2">
      <c r="J148" s="161"/>
      <c r="K148" s="93"/>
    </row>
    <row r="149" spans="2:15" s="21" customFormat="1" ht="12.95" customHeight="1" collapsed="1" x14ac:dyDescent="0.2">
      <c r="B149" s="28" t="s">
        <v>67</v>
      </c>
      <c r="C149" s="28"/>
      <c r="D149" s="28"/>
      <c r="E149" s="28"/>
      <c r="F149" s="28"/>
      <c r="G149" s="28"/>
      <c r="H149" s="28"/>
      <c r="I149" s="28"/>
      <c r="J149" s="162"/>
      <c r="K149" s="28"/>
      <c r="L149" s="28"/>
      <c r="M149" s="28"/>
      <c r="N149" s="28"/>
      <c r="O149" s="28"/>
    </row>
    <row r="150" spans="2:15" ht="12.95" customHeight="1" x14ac:dyDescent="0.2">
      <c r="B150" s="1" t="s">
        <v>68</v>
      </c>
      <c r="H150" s="72">
        <f>+(H104/H145)*365</f>
        <v>30</v>
      </c>
      <c r="I150" s="72">
        <f>+(I104/I145)*365</f>
        <v>30</v>
      </c>
      <c r="J150" s="163">
        <f>+(J104/J145)*365</f>
        <v>30</v>
      </c>
      <c r="K150" s="73">
        <v>30</v>
      </c>
      <c r="L150" s="74">
        <v>30</v>
      </c>
      <c r="M150" s="74">
        <v>30</v>
      </c>
      <c r="N150" s="74">
        <v>30</v>
      </c>
      <c r="O150" s="74">
        <v>30</v>
      </c>
    </row>
    <row r="151" spans="2:15" ht="12.95" customHeight="1" x14ac:dyDescent="0.2">
      <c r="B151" s="1" t="s">
        <v>69</v>
      </c>
      <c r="H151" s="75">
        <f>+H146/H105</f>
        <v>5</v>
      </c>
      <c r="I151" s="75">
        <f>+I146/I105</f>
        <v>5</v>
      </c>
      <c r="J151" s="164">
        <f>+J146/J105</f>
        <v>5</v>
      </c>
      <c r="K151" s="112">
        <v>5</v>
      </c>
      <c r="L151" s="19">
        <v>5</v>
      </c>
      <c r="M151" s="19">
        <v>5</v>
      </c>
      <c r="N151" s="19">
        <v>5</v>
      </c>
      <c r="O151" s="19">
        <v>5</v>
      </c>
    </row>
    <row r="152" spans="2:15" ht="12.95" customHeight="1" x14ac:dyDescent="0.2">
      <c r="B152" s="1" t="s">
        <v>70</v>
      </c>
      <c r="H152" s="61">
        <f>+H106/H145</f>
        <v>2.5999999999999995E-2</v>
      </c>
      <c r="I152" s="61">
        <f>+I106/I145</f>
        <v>2.5999999999999995E-2</v>
      </c>
      <c r="J152" s="62">
        <f>+J106/J145</f>
        <v>2.5999999999999995E-2</v>
      </c>
      <c r="K152" s="113">
        <v>2.5999999999999995E-2</v>
      </c>
      <c r="L152" s="22">
        <v>2.5999999999999995E-2</v>
      </c>
      <c r="M152" s="22">
        <v>2.5999999999999995E-2</v>
      </c>
      <c r="N152" s="22">
        <v>2.5999999999999995E-2</v>
      </c>
      <c r="O152" s="22">
        <v>2.5999999999999995E-2</v>
      </c>
    </row>
    <row r="153" spans="2:15" ht="12.95" customHeight="1" x14ac:dyDescent="0.2">
      <c r="B153" s="1" t="s">
        <v>164</v>
      </c>
      <c r="H153" s="129">
        <f>+H111/H145</f>
        <v>0.04</v>
      </c>
      <c r="I153" s="129">
        <f>+I111/I145</f>
        <v>0.04</v>
      </c>
      <c r="J153" s="165">
        <f>+J111/J145</f>
        <v>0.04</v>
      </c>
      <c r="K153" s="113">
        <v>0.04</v>
      </c>
      <c r="L153" s="22">
        <v>0.04</v>
      </c>
      <c r="M153" s="22">
        <v>0.04</v>
      </c>
      <c r="N153" s="22">
        <v>0.04</v>
      </c>
      <c r="O153" s="22">
        <v>0.04</v>
      </c>
    </row>
    <row r="154" spans="2:15" ht="3" customHeight="1" x14ac:dyDescent="0.2">
      <c r="H154" s="29"/>
      <c r="I154" s="29"/>
      <c r="J154" s="59"/>
      <c r="K154" s="93"/>
    </row>
    <row r="155" spans="2:15" ht="12.95" customHeight="1" x14ac:dyDescent="0.2">
      <c r="B155" s="1" t="s">
        <v>71</v>
      </c>
      <c r="H155" s="72">
        <f>+(H114/H146)*365</f>
        <v>30</v>
      </c>
      <c r="I155" s="72">
        <f>+(I114/I146)*365</f>
        <v>30</v>
      </c>
      <c r="J155" s="166">
        <f>+(J114/J146)*365</f>
        <v>30</v>
      </c>
      <c r="K155" s="114">
        <v>30</v>
      </c>
      <c r="L155" s="74">
        <v>30</v>
      </c>
      <c r="M155" s="74">
        <v>30</v>
      </c>
      <c r="N155" s="74">
        <v>30</v>
      </c>
      <c r="O155" s="74">
        <v>30</v>
      </c>
    </row>
    <row r="156" spans="2:15" ht="12.95" customHeight="1" x14ac:dyDescent="0.2">
      <c r="B156" s="1" t="s">
        <v>72</v>
      </c>
      <c r="H156" s="61">
        <f>+H115/SUM(H146:H147)</f>
        <v>5.800000000000001E-2</v>
      </c>
      <c r="I156" s="61">
        <f>+I115/SUM(I146:I147)</f>
        <v>5.800000000000001E-2</v>
      </c>
      <c r="J156" s="62">
        <f>+J115/SUM(J146:J147)</f>
        <v>5.8000000000000017E-2</v>
      </c>
      <c r="K156" s="113">
        <v>5.800000000000001E-2</v>
      </c>
      <c r="L156" s="22">
        <v>5.800000000000001E-2</v>
      </c>
      <c r="M156" s="22">
        <v>5.800000000000001E-2</v>
      </c>
      <c r="N156" s="22">
        <v>5.800000000000001E-2</v>
      </c>
      <c r="O156" s="22">
        <v>5.800000000000001E-2</v>
      </c>
    </row>
    <row r="157" spans="2:15" ht="12.95" customHeight="1" x14ac:dyDescent="0.2">
      <c r="B157" s="1" t="s">
        <v>73</v>
      </c>
      <c r="H157" s="61">
        <f>+H116/H145</f>
        <v>0.05</v>
      </c>
      <c r="I157" s="61">
        <f>+I116/I145</f>
        <v>0.05</v>
      </c>
      <c r="J157" s="62">
        <f>+J116/J145</f>
        <v>0.05</v>
      </c>
      <c r="K157" s="113">
        <v>0.05</v>
      </c>
      <c r="L157" s="22">
        <v>0.05</v>
      </c>
      <c r="M157" s="22">
        <v>0.05</v>
      </c>
      <c r="N157" s="22">
        <v>0.05</v>
      </c>
      <c r="O157" s="22">
        <v>0.05</v>
      </c>
    </row>
    <row r="158" spans="2:15" ht="12.95" customHeight="1" x14ac:dyDescent="0.2">
      <c r="B158" s="1" t="s">
        <v>163</v>
      </c>
      <c r="H158" s="61">
        <f>+H119/H145</f>
        <v>0.01</v>
      </c>
      <c r="I158" s="61">
        <f>+I119/I145</f>
        <v>0.01</v>
      </c>
      <c r="J158" s="62">
        <f>+J119/J145</f>
        <v>0.01</v>
      </c>
      <c r="K158" s="113">
        <v>0.01</v>
      </c>
      <c r="L158" s="22">
        <v>0.01</v>
      </c>
      <c r="M158" s="22">
        <v>0.01</v>
      </c>
      <c r="N158" s="22">
        <v>0.01</v>
      </c>
      <c r="O158" s="22">
        <v>0.01</v>
      </c>
    </row>
    <row r="159" spans="2:15" ht="3" customHeight="1" x14ac:dyDescent="0.2">
      <c r="J159" s="35"/>
      <c r="K159" s="93"/>
    </row>
    <row r="160" spans="2:15" ht="12.95" customHeight="1" x14ac:dyDescent="0.2">
      <c r="B160" s="1" t="s">
        <v>74</v>
      </c>
      <c r="H160" s="17">
        <f t="shared" ref="H160:O160" si="39">+(H107-H103)-H117</f>
        <v>91.6020511818584</v>
      </c>
      <c r="I160" s="17">
        <f t="shared" si="39"/>
        <v>97.514156014335072</v>
      </c>
      <c r="J160" s="40">
        <f t="shared" si="39"/>
        <v>104.29517644639051</v>
      </c>
      <c r="K160" s="115">
        <f t="shared" ca="1" si="39"/>
        <v>111.80834588935704</v>
      </c>
      <c r="L160" s="17">
        <f t="shared" ca="1" si="39"/>
        <v>120.14212366795709</v>
      </c>
      <c r="M160" s="17">
        <f t="shared" ca="1" si="39"/>
        <v>129.39727185648201</v>
      </c>
      <c r="N160" s="17">
        <f t="shared" ca="1" si="39"/>
        <v>139.68871789759919</v>
      </c>
      <c r="O160" s="17">
        <f t="shared" ca="1" si="39"/>
        <v>151.14772372088953</v>
      </c>
    </row>
    <row r="161" spans="1:17" ht="12.95" customHeight="1" x14ac:dyDescent="0.2">
      <c r="B161" s="20" t="s">
        <v>165</v>
      </c>
      <c r="C161" s="20"/>
      <c r="D161" s="20"/>
      <c r="E161" s="20"/>
      <c r="F161" s="20"/>
      <c r="G161" s="20"/>
      <c r="H161" s="76">
        <f t="shared" ref="H161:O161" si="40">+H160/H145</f>
        <v>7.570900000000004E-2</v>
      </c>
      <c r="I161" s="76">
        <f t="shared" si="40"/>
        <v>7.5676383561643787E-2</v>
      </c>
      <c r="J161" s="167">
        <f t="shared" si="40"/>
        <v>7.5643767123287659E-2</v>
      </c>
      <c r="K161" s="76">
        <f t="shared" ca="1" si="40"/>
        <v>7.5611150684931516E-2</v>
      </c>
      <c r="L161" s="76">
        <f t="shared" ca="1" si="40"/>
        <v>7.5578534246575249E-2</v>
      </c>
      <c r="M161" s="76">
        <f t="shared" ca="1" si="40"/>
        <v>7.554591780821919E-2</v>
      </c>
      <c r="N161" s="76">
        <f t="shared" ca="1" si="40"/>
        <v>7.5513301369862992E-2</v>
      </c>
      <c r="O161" s="76">
        <f t="shared" ca="1" si="40"/>
        <v>7.5480684931506975E-2</v>
      </c>
    </row>
    <row r="162" spans="1:17" ht="12.95" customHeight="1" x14ac:dyDescent="0.2">
      <c r="B162" s="20"/>
      <c r="C162" s="20"/>
      <c r="D162" s="20"/>
      <c r="E162" s="20"/>
      <c r="F162" s="20"/>
      <c r="G162" s="20"/>
      <c r="H162" s="20"/>
      <c r="I162" s="20"/>
      <c r="K162" s="20"/>
      <c r="L162" s="20"/>
      <c r="M162" s="20"/>
      <c r="N162" s="20"/>
      <c r="O162" s="20"/>
    </row>
    <row r="163" spans="1:17" ht="12.95" customHeight="1" x14ac:dyDescent="0.2">
      <c r="A163" s="1" t="s">
        <v>0</v>
      </c>
      <c r="B163" s="26" t="s">
        <v>75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30"/>
    </row>
    <row r="165" spans="1:17" ht="12.95" customHeight="1" x14ac:dyDescent="0.35">
      <c r="I165" s="10"/>
      <c r="J165" s="10"/>
      <c r="K165" s="9" t="str">
        <f>+H101</f>
        <v>Fiscal Year Ended 12/31</v>
      </c>
      <c r="L165" s="10"/>
      <c r="M165" s="10"/>
      <c r="N165" s="10"/>
      <c r="O165" s="10"/>
    </row>
    <row r="166" spans="1:17" ht="12.95" customHeight="1" x14ac:dyDescent="0.2">
      <c r="B166" s="18" t="s">
        <v>76</v>
      </c>
      <c r="K166" s="11">
        <f>+$K$63</f>
        <v>2021</v>
      </c>
      <c r="L166" s="11">
        <f>+$L$63</f>
        <v>2022</v>
      </c>
      <c r="M166" s="11">
        <f>+$M$63</f>
        <v>2023</v>
      </c>
      <c r="N166" s="11">
        <f>+$N$63</f>
        <v>2024</v>
      </c>
      <c r="O166" s="11">
        <f>+$O$63</f>
        <v>2025</v>
      </c>
    </row>
    <row r="167" spans="1:17" ht="12.95" customHeight="1" x14ac:dyDescent="0.2">
      <c r="B167" s="1" t="s">
        <v>39</v>
      </c>
      <c r="H167" s="17"/>
      <c r="I167" s="17"/>
      <c r="J167" s="17"/>
      <c r="K167" s="160">
        <f ca="1">+K73</f>
        <v>191.19683918614641</v>
      </c>
      <c r="L167" s="160">
        <f ca="1">+L73</f>
        <v>210.71549964179448</v>
      </c>
      <c r="M167" s="160">
        <f ca="1">+M73</f>
        <v>232.56978295217664</v>
      </c>
      <c r="N167" s="160">
        <f ca="1">+N73</f>
        <v>257.07880207604501</v>
      </c>
      <c r="O167" s="160">
        <f ca="1">+O73</f>
        <v>284.60992644787052</v>
      </c>
    </row>
    <row r="168" spans="1:17" ht="12.95" customHeight="1" x14ac:dyDescent="0.2">
      <c r="B168" s="1" t="s">
        <v>77</v>
      </c>
      <c r="H168" s="23"/>
      <c r="I168" s="23"/>
      <c r="J168" s="23"/>
      <c r="K168" s="272">
        <f ca="1">-K269</f>
        <v>19.962831617203911</v>
      </c>
      <c r="L168" s="272">
        <f ca="1">-L269</f>
        <v>22.254860432512512</v>
      </c>
      <c r="M168" s="272">
        <f ca="1">-M269</f>
        <v>24.836026834461958</v>
      </c>
      <c r="N168" s="272">
        <f ca="1">-N269</f>
        <v>27.747836877123014</v>
      </c>
      <c r="O168" s="272">
        <f ca="1">-O269</f>
        <v>31.038267866801853</v>
      </c>
      <c r="Q168" s="81" t="s">
        <v>396</v>
      </c>
    </row>
    <row r="169" spans="1:17" ht="12.95" customHeight="1" x14ac:dyDescent="0.2">
      <c r="B169" s="1" t="s">
        <v>134</v>
      </c>
      <c r="H169" s="23"/>
      <c r="I169" s="23"/>
      <c r="J169" s="23"/>
      <c r="K169" s="272">
        <f ca="1">+K281</f>
        <v>11.111880686976447</v>
      </c>
      <c r="L169" s="272">
        <f ca="1">+L281</f>
        <v>11.945271738499681</v>
      </c>
      <c r="M169" s="272">
        <f ca="1">+M281</f>
        <v>12.871030298233407</v>
      </c>
      <c r="N169" s="272">
        <f ca="1">+N281</f>
        <v>13.900712722092081</v>
      </c>
      <c r="O169" s="272">
        <f ca="1">+O281</f>
        <v>15.047521521664677</v>
      </c>
      <c r="Q169" s="81" t="s">
        <v>397</v>
      </c>
    </row>
    <row r="170" spans="1:17" ht="12.95" customHeight="1" x14ac:dyDescent="0.2">
      <c r="K170" s="143"/>
      <c r="L170" s="143"/>
      <c r="M170" s="143"/>
      <c r="N170" s="143"/>
      <c r="O170" s="143"/>
    </row>
    <row r="171" spans="1:17" ht="12.95" customHeight="1" x14ac:dyDescent="0.2">
      <c r="B171" s="18" t="s">
        <v>78</v>
      </c>
      <c r="K171" s="143"/>
      <c r="L171" s="143"/>
      <c r="M171" s="143"/>
      <c r="N171" s="143"/>
      <c r="O171" s="143"/>
    </row>
    <row r="172" spans="1:17" ht="12.95" customHeight="1" x14ac:dyDescent="0.2">
      <c r="B172" s="1" t="str">
        <f>+"(Increase) / Decrease in "&amp;B104</f>
        <v>(Increase) / Decrease in Accounts Receivable</v>
      </c>
      <c r="H172" s="23"/>
      <c r="I172" s="23"/>
      <c r="J172" s="23"/>
      <c r="K172" s="137">
        <f t="shared" ref="K172:O174" ca="1" si="41">+(J104-K104)</f>
        <v>-8.2159440119340701</v>
      </c>
      <c r="L172" s="137">
        <f t="shared" ca="1" si="41"/>
        <v>-9.1154482270337525</v>
      </c>
      <c r="M172" s="137">
        <f t="shared" ca="1" si="41"/>
        <v>-10.125743738863349</v>
      </c>
      <c r="N172" s="137">
        <f t="shared" ca="1" si="41"/>
        <v>-11.262440132774429</v>
      </c>
      <c r="O172" s="137">
        <f t="shared" ca="1" si="41"/>
        <v>-12.543542697877541</v>
      </c>
    </row>
    <row r="173" spans="1:17" ht="12.95" customHeight="1" x14ac:dyDescent="0.2">
      <c r="B173" s="1" t="str">
        <f>+"(Increase) / Decrease in "&amp;B105</f>
        <v>(Increase) / Decrease in Inventories</v>
      </c>
      <c r="H173" s="23"/>
      <c r="I173" s="23"/>
      <c r="J173" s="23"/>
      <c r="K173" s="137">
        <f t="shared" ca="1" si="41"/>
        <v>-10.564117472227679</v>
      </c>
      <c r="L173" s="137">
        <f t="shared" ca="1" si="41"/>
        <v>-11.696740599413573</v>
      </c>
      <c r="M173" s="137">
        <f t="shared" ca="1" si="41"/>
        <v>-12.965045834826583</v>
      </c>
      <c r="N173" s="137">
        <f t="shared" ca="1" si="41"/>
        <v>-14.387767269619332</v>
      </c>
      <c r="O173" s="137">
        <f t="shared" ca="1" si="41"/>
        <v>-15.986453752806483</v>
      </c>
    </row>
    <row r="174" spans="1:17" ht="12.95" customHeight="1" x14ac:dyDescent="0.2">
      <c r="B174" s="1" t="str">
        <f>+"(Increase) / Decrease in "&amp;B106</f>
        <v>(Increase) / Decrease in Prepaid Expenses</v>
      </c>
      <c r="H174" s="23"/>
      <c r="I174" s="23"/>
      <c r="J174" s="23"/>
      <c r="K174" s="137">
        <f t="shared" ca="1" si="41"/>
        <v>-2.598976955775143</v>
      </c>
      <c r="L174" s="137">
        <f t="shared" ca="1" si="41"/>
        <v>-2.8835201224850167</v>
      </c>
      <c r="M174" s="137">
        <f t="shared" ca="1" si="41"/>
        <v>-3.2031102693937683</v>
      </c>
      <c r="N174" s="137">
        <f t="shared" ca="1" si="41"/>
        <v>-3.5626852286676467</v>
      </c>
      <c r="O174" s="137">
        <f t="shared" ca="1" si="41"/>
        <v>-3.9679406734285863</v>
      </c>
    </row>
    <row r="175" spans="1:17" ht="12.95" customHeight="1" x14ac:dyDescent="0.2">
      <c r="B175" s="1" t="str">
        <f>+"(Increase) / Decrease in "&amp;B111</f>
        <v>(Increase) / Decrease in Other Long-Term (Operating) Assets</v>
      </c>
      <c r="H175" s="23"/>
      <c r="I175" s="23"/>
      <c r="J175" s="23"/>
      <c r="K175" s="137">
        <f ca="1">+(J111-K111)</f>
        <v>-3.9984260858079139</v>
      </c>
      <c r="L175" s="137">
        <f ca="1">+(K111-L111)</f>
        <v>-4.436184803823096</v>
      </c>
      <c r="M175" s="137">
        <f ca="1">+(L111-M111)</f>
        <v>-4.9278619529134957</v>
      </c>
      <c r="N175" s="137">
        <f ca="1">+(M111-N111)</f>
        <v>-5.481054197950229</v>
      </c>
      <c r="O175" s="137">
        <f ca="1">+(N111-O111)</f>
        <v>-6.1045241129670558</v>
      </c>
    </row>
    <row r="176" spans="1:17" ht="12.95" customHeight="1" x14ac:dyDescent="0.2">
      <c r="B176" s="1" t="str">
        <f>+"Increase / (Decrease) in "&amp;B114</f>
        <v>Increase / (Decrease) in Accounts Payable</v>
      </c>
      <c r="H176" s="23"/>
      <c r="I176" s="23"/>
      <c r="J176" s="23"/>
      <c r="K176" s="137">
        <f t="shared" ref="K176:O178" ca="1" si="42">+K114-J114</f>
        <v>4.3414181392716529</v>
      </c>
      <c r="L176" s="137">
        <f t="shared" ca="1" si="42"/>
        <v>4.8068796983891389</v>
      </c>
      <c r="M176" s="137">
        <f t="shared" ca="1" si="42"/>
        <v>5.3281010280109342</v>
      </c>
      <c r="N176" s="137">
        <f t="shared" ca="1" si="42"/>
        <v>5.9127810697065684</v>
      </c>
      <c r="O176" s="137">
        <f t="shared" ca="1" si="42"/>
        <v>6.5697755148519832</v>
      </c>
    </row>
    <row r="177" spans="2:17" ht="12.95" customHeight="1" x14ac:dyDescent="0.2">
      <c r="B177" s="1" t="str">
        <f>+"Increase / (Decrease) in "&amp;B115</f>
        <v>Increase / (Decrease) in Accrued Liabilities</v>
      </c>
      <c r="H177" s="23"/>
      <c r="I177" s="23"/>
      <c r="J177" s="23"/>
      <c r="K177" s="137">
        <f t="shared" ca="1" si="42"/>
        <v>4.5264182504388515</v>
      </c>
      <c r="L177" s="137">
        <f t="shared" ca="1" si="42"/>
        <v>5.0098204671641327</v>
      </c>
      <c r="M177" s="137">
        <f t="shared" ca="1" si="42"/>
        <v>5.5508231854061449</v>
      </c>
      <c r="N177" s="137">
        <f t="shared" ca="1" si="42"/>
        <v>6.1573477727998238</v>
      </c>
      <c r="O177" s="137">
        <f t="shared" ca="1" si="42"/>
        <v>6.8385006447617513</v>
      </c>
    </row>
    <row r="178" spans="2:17" ht="12.95" customHeight="1" x14ac:dyDescent="0.2">
      <c r="B178" s="1" t="str">
        <f>+"Increase / (Decrease) in "&amp;B116</f>
        <v>Increase / (Decrease) in Deferred Revenue</v>
      </c>
      <c r="H178" s="23"/>
      <c r="I178" s="23"/>
      <c r="J178" s="23"/>
      <c r="K178" s="137">
        <f t="shared" ca="1" si="42"/>
        <v>4.9980326072598871</v>
      </c>
      <c r="L178" s="137">
        <f t="shared" ca="1" si="42"/>
        <v>5.5452310047788842</v>
      </c>
      <c r="M178" s="137">
        <f t="shared" ca="1" si="42"/>
        <v>6.1598274411418572</v>
      </c>
      <c r="N178" s="137">
        <f t="shared" ca="1" si="42"/>
        <v>6.8513177474377756</v>
      </c>
      <c r="O178" s="137">
        <f t="shared" ca="1" si="42"/>
        <v>7.6306551412088339</v>
      </c>
    </row>
    <row r="179" spans="2:17" ht="12.95" customHeight="1" x14ac:dyDescent="0.2">
      <c r="B179" s="20" t="str">
        <f>+"Increase / (Decrease) in "&amp;B119</f>
        <v>Increase / (Decrease) in Other Long-Term (Operating) Liabilities</v>
      </c>
      <c r="C179" s="20"/>
      <c r="D179" s="20"/>
      <c r="E179" s="20"/>
      <c r="F179" s="20"/>
      <c r="G179" s="20"/>
      <c r="H179" s="77"/>
      <c r="I179" s="77"/>
      <c r="J179" s="77"/>
      <c r="K179" s="140">
        <f ca="1">+K119-J119</f>
        <v>0.99960652145197848</v>
      </c>
      <c r="L179" s="140">
        <f ca="1">+L119-K119</f>
        <v>1.109046200955774</v>
      </c>
      <c r="M179" s="140">
        <f ca="1">+M119-L119</f>
        <v>1.2319654882283739</v>
      </c>
      <c r="N179" s="140">
        <f ca="1">+N119-M119</f>
        <v>1.3702635494875572</v>
      </c>
      <c r="O179" s="140">
        <f ca="1">+O119-N119</f>
        <v>1.5261310282417639</v>
      </c>
    </row>
    <row r="180" spans="2:17" ht="12.95" customHeight="1" x14ac:dyDescent="0.2">
      <c r="B180" s="21" t="s">
        <v>79</v>
      </c>
      <c r="C180" s="21"/>
      <c r="D180" s="21"/>
      <c r="E180" s="21"/>
      <c r="F180" s="21"/>
      <c r="G180" s="21"/>
      <c r="H180" s="128"/>
      <c r="I180" s="128"/>
      <c r="J180" s="128"/>
      <c r="K180" s="147">
        <f ca="1">+SUM(K172:K179)</f>
        <v>-10.511989007322436</v>
      </c>
      <c r="L180" s="147">
        <f ca="1">+SUM(L172:L179)</f>
        <v>-11.660916381467509</v>
      </c>
      <c r="M180" s="147">
        <f ca="1">+SUM(M172:M179)</f>
        <v>-12.951044653209886</v>
      </c>
      <c r="N180" s="147">
        <f ca="1">+SUM(N172:N179)</f>
        <v>-14.402236689579912</v>
      </c>
      <c r="O180" s="147">
        <f ca="1">+SUM(O172:O179)</f>
        <v>-16.037398908015334</v>
      </c>
    </row>
    <row r="181" spans="2:17" ht="12.95" customHeight="1" x14ac:dyDescent="0.2">
      <c r="K181" s="143"/>
      <c r="L181" s="143"/>
      <c r="M181" s="143"/>
      <c r="N181" s="143"/>
      <c r="O181" s="143"/>
    </row>
    <row r="182" spans="2:17" s="93" customFormat="1" ht="12.95" customHeight="1" x14ac:dyDescent="0.2">
      <c r="B182" s="16" t="s">
        <v>166</v>
      </c>
      <c r="C182" s="16"/>
      <c r="D182" s="16"/>
      <c r="E182" s="16"/>
      <c r="F182" s="16"/>
      <c r="G182" s="16"/>
      <c r="H182" s="71"/>
      <c r="I182" s="71"/>
      <c r="J182" s="71"/>
      <c r="K182" s="155">
        <f ca="1">+SUM(K167:K169,K180)</f>
        <v>211.75956248300432</v>
      </c>
      <c r="L182" s="155">
        <f ca="1">+SUM(L167:L169,L180)</f>
        <v>233.25471543133918</v>
      </c>
      <c r="M182" s="155">
        <f ca="1">+SUM(M167:M169,M180)</f>
        <v>257.32579543166213</v>
      </c>
      <c r="N182" s="155">
        <f ca="1">+SUM(N167:N169,N180)</f>
        <v>284.32511498568016</v>
      </c>
      <c r="O182" s="155">
        <f ca="1">+SUM(O167:O169,O180)</f>
        <v>314.65831692832171</v>
      </c>
    </row>
    <row r="183" spans="2:17" ht="12.95" customHeight="1" x14ac:dyDescent="0.2">
      <c r="K183" s="143"/>
      <c r="L183" s="143"/>
      <c r="M183" s="143"/>
      <c r="N183" s="143"/>
      <c r="O183" s="143"/>
    </row>
    <row r="184" spans="2:17" ht="12.95" customHeight="1" x14ac:dyDescent="0.2">
      <c r="B184" s="18" t="s">
        <v>80</v>
      </c>
      <c r="K184" s="143"/>
      <c r="L184" s="143"/>
      <c r="M184" s="143"/>
      <c r="N184" s="143"/>
      <c r="O184" s="143"/>
    </row>
    <row r="185" spans="2:17" ht="12.95" customHeight="1" x14ac:dyDescent="0.2">
      <c r="B185" s="1" t="s">
        <v>16</v>
      </c>
      <c r="H185" s="17"/>
      <c r="I185" s="17"/>
      <c r="J185" s="17"/>
      <c r="K185" s="270">
        <f ca="1">-K268</f>
        <v>-21.441559885144944</v>
      </c>
      <c r="L185" s="270">
        <f ca="1">-L268</f>
        <v>-23.84449332054912</v>
      </c>
      <c r="M185" s="270">
        <f ca="1">-M268</f>
        <v>-26.548856271321402</v>
      </c>
      <c r="N185" s="270">
        <f ca="1">-N268</f>
        <v>-29.597692668931213</v>
      </c>
      <c r="O185" s="270">
        <f ca="1">-O268</f>
        <v>-33.040736761434232</v>
      </c>
      <c r="Q185" s="81" t="s">
        <v>400</v>
      </c>
    </row>
    <row r="186" spans="2:17" s="92" customFormat="1" ht="12.95" customHeight="1" x14ac:dyDescent="0.2">
      <c r="B186" s="16" t="s">
        <v>167</v>
      </c>
      <c r="C186" s="16"/>
      <c r="D186" s="16"/>
      <c r="E186" s="16"/>
      <c r="F186" s="16"/>
      <c r="G186" s="16"/>
      <c r="H186" s="71"/>
      <c r="I186" s="71"/>
      <c r="J186" s="71"/>
      <c r="K186" s="155">
        <f ca="1">SUM(K185)</f>
        <v>-21.441559885144944</v>
      </c>
      <c r="L186" s="155">
        <f ca="1">SUM(L185)</f>
        <v>-23.84449332054912</v>
      </c>
      <c r="M186" s="155">
        <f ca="1">SUM(M185)</f>
        <v>-26.548856271321402</v>
      </c>
      <c r="N186" s="155">
        <f ca="1">SUM(N185)</f>
        <v>-29.597692668931213</v>
      </c>
      <c r="O186" s="155">
        <f ca="1">SUM(O185)</f>
        <v>-33.040736761434232</v>
      </c>
    </row>
    <row r="187" spans="2:17" ht="12.95" customHeight="1" x14ac:dyDescent="0.2">
      <c r="K187" s="143"/>
      <c r="L187" s="143"/>
      <c r="M187" s="143"/>
      <c r="N187" s="143"/>
      <c r="O187" s="143"/>
    </row>
    <row r="188" spans="2:17" ht="12.95" customHeight="1" x14ac:dyDescent="0.2">
      <c r="B188" s="18" t="s">
        <v>81</v>
      </c>
      <c r="K188" s="160"/>
      <c r="L188" s="160"/>
      <c r="M188" s="160"/>
      <c r="N188" s="160"/>
      <c r="O188" s="160"/>
    </row>
    <row r="189" spans="2:17" ht="12.95" customHeight="1" x14ac:dyDescent="0.2">
      <c r="B189" s="1" t="s">
        <v>82</v>
      </c>
      <c r="K189" s="160">
        <f>+K204</f>
        <v>0</v>
      </c>
      <c r="L189" s="160">
        <f t="shared" ref="L189:O189" si="43">+L204</f>
        <v>0</v>
      </c>
      <c r="M189" s="160">
        <f t="shared" si="43"/>
        <v>0</v>
      </c>
      <c r="N189" s="160">
        <f t="shared" si="43"/>
        <v>0</v>
      </c>
      <c r="O189" s="160">
        <f t="shared" si="43"/>
        <v>0</v>
      </c>
    </row>
    <row r="190" spans="2:17" s="93" customFormat="1" ht="12.95" customHeight="1" x14ac:dyDescent="0.2">
      <c r="B190" s="93" t="s">
        <v>156</v>
      </c>
      <c r="K190" s="136">
        <f ca="1">+K222</f>
        <v>0</v>
      </c>
      <c r="L190" s="136">
        <f t="shared" ref="L190:O190" ca="1" si="44">+L222</f>
        <v>0</v>
      </c>
      <c r="M190" s="136">
        <f t="shared" ca="1" si="44"/>
        <v>0</v>
      </c>
      <c r="N190" s="136">
        <f t="shared" ca="1" si="44"/>
        <v>0</v>
      </c>
      <c r="O190" s="136">
        <f t="shared" ca="1" si="44"/>
        <v>0</v>
      </c>
    </row>
    <row r="191" spans="2:17" s="93" customFormat="1" ht="12.95" customHeight="1" x14ac:dyDescent="0.2">
      <c r="B191" s="93" t="s">
        <v>112</v>
      </c>
      <c r="K191" s="136">
        <f t="shared" ref="K191:O193" si="45">+K210</f>
        <v>0</v>
      </c>
      <c r="L191" s="136">
        <f t="shared" si="45"/>
        <v>0</v>
      </c>
      <c r="M191" s="136">
        <f t="shared" si="45"/>
        <v>0</v>
      </c>
      <c r="N191" s="136">
        <f t="shared" si="45"/>
        <v>0</v>
      </c>
      <c r="O191" s="136">
        <f t="shared" si="45"/>
        <v>0</v>
      </c>
    </row>
    <row r="192" spans="2:17" s="93" customFormat="1" ht="12.95" customHeight="1" x14ac:dyDescent="0.2">
      <c r="B192" s="93" t="s">
        <v>113</v>
      </c>
      <c r="K192" s="136">
        <f t="shared" si="45"/>
        <v>-5</v>
      </c>
      <c r="L192" s="136">
        <f t="shared" si="45"/>
        <v>-5</v>
      </c>
      <c r="M192" s="136">
        <f t="shared" si="45"/>
        <v>-5</v>
      </c>
      <c r="N192" s="136">
        <f t="shared" si="45"/>
        <v>-5</v>
      </c>
      <c r="O192" s="136">
        <f t="shared" si="45"/>
        <v>-5</v>
      </c>
    </row>
    <row r="193" spans="1:20" ht="12.95" customHeight="1" x14ac:dyDescent="0.2">
      <c r="B193" s="93" t="s">
        <v>114</v>
      </c>
      <c r="C193" s="93"/>
      <c r="D193" s="93"/>
      <c r="E193" s="93"/>
      <c r="F193" s="93"/>
      <c r="G193" s="93"/>
      <c r="H193" s="93"/>
      <c r="I193" s="93"/>
      <c r="J193" s="93"/>
      <c r="K193" s="136">
        <f t="shared" ca="1" si="45"/>
        <v>-9.5598419593073203</v>
      </c>
      <c r="L193" s="136">
        <f t="shared" ca="1" si="45"/>
        <v>-10.535774982089725</v>
      </c>
      <c r="M193" s="136">
        <f t="shared" ca="1" si="45"/>
        <v>-11.628489147608832</v>
      </c>
      <c r="N193" s="136">
        <f t="shared" ca="1" si="45"/>
        <v>-12.853940103802252</v>
      </c>
      <c r="O193" s="136">
        <f t="shared" ca="1" si="45"/>
        <v>-14.230496322393527</v>
      </c>
    </row>
    <row r="194" spans="1:20" s="21" customFormat="1" ht="12.95" customHeight="1" x14ac:dyDescent="0.2">
      <c r="B194" s="256" t="s">
        <v>168</v>
      </c>
      <c r="C194" s="256"/>
      <c r="D194" s="256"/>
      <c r="E194" s="256"/>
      <c r="F194" s="256"/>
      <c r="G194" s="256"/>
      <c r="H194" s="257"/>
      <c r="I194" s="257"/>
      <c r="J194" s="257"/>
      <c r="K194" s="257">
        <f ca="1">+SUM(K189:K193)</f>
        <v>-14.55984195930732</v>
      </c>
      <c r="L194" s="257">
        <f ca="1">+SUM(L189:L193)</f>
        <v>-15.535774982089725</v>
      </c>
      <c r="M194" s="257">
        <f ca="1">+SUM(M189:M193)</f>
        <v>-16.628489147608832</v>
      </c>
      <c r="N194" s="257">
        <f ca="1">+SUM(N189:N193)</f>
        <v>-17.853940103802252</v>
      </c>
      <c r="O194" s="257">
        <f ca="1">+SUM(O189:O193)</f>
        <v>-19.230496322393527</v>
      </c>
      <c r="T194" s="1"/>
    </row>
    <row r="195" spans="1:20" ht="12.95" customHeight="1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158"/>
      <c r="L195" s="158"/>
      <c r="M195" s="158"/>
      <c r="N195" s="158"/>
      <c r="O195" s="158"/>
      <c r="T195" s="92"/>
    </row>
    <row r="196" spans="1:20" s="93" customFormat="1" ht="12.95" customHeight="1" x14ac:dyDescent="0.2">
      <c r="B196" s="16" t="s">
        <v>83</v>
      </c>
      <c r="C196" s="16"/>
      <c r="D196" s="16"/>
      <c r="E196" s="16"/>
      <c r="F196" s="16"/>
      <c r="G196" s="16"/>
      <c r="H196" s="71"/>
      <c r="I196" s="71"/>
      <c r="J196" s="71"/>
      <c r="K196" s="155">
        <f ca="1">+K182+K186+K194</f>
        <v>175.75816063855206</v>
      </c>
      <c r="L196" s="155">
        <f ca="1">+L182+L186+L194</f>
        <v>193.87444712870035</v>
      </c>
      <c r="M196" s="155">
        <f ca="1">+M182+M186+M194</f>
        <v>214.1484500127319</v>
      </c>
      <c r="N196" s="155">
        <f ca="1">+N182+N186+N194</f>
        <v>236.8734822129467</v>
      </c>
      <c r="O196" s="155">
        <f ca="1">+O182+O186+O194</f>
        <v>262.38708384449393</v>
      </c>
      <c r="T196" s="92"/>
    </row>
    <row r="197" spans="1:20" ht="12.95" customHeight="1" x14ac:dyDescent="0.2">
      <c r="T197" s="92"/>
    </row>
    <row r="198" spans="1:20" ht="12.95" customHeight="1" x14ac:dyDescent="0.2">
      <c r="A198" s="1" t="s">
        <v>0</v>
      </c>
      <c r="B198" s="26" t="s">
        <v>84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30"/>
      <c r="T198" s="92"/>
    </row>
    <row r="200" spans="1:20" ht="12.95" customHeight="1" x14ac:dyDescent="0.35">
      <c r="K200" s="9" t="str">
        <f>+K165</f>
        <v>Fiscal Year Ended 12/31</v>
      </c>
      <c r="L200" s="10"/>
      <c r="M200" s="10"/>
      <c r="N200" s="10"/>
      <c r="O200" s="10"/>
    </row>
    <row r="201" spans="1:20" ht="12.95" customHeight="1" x14ac:dyDescent="0.2">
      <c r="K201" s="11">
        <f>+$K$63</f>
        <v>2021</v>
      </c>
      <c r="L201" s="11">
        <f>+$L$63</f>
        <v>2022</v>
      </c>
      <c r="M201" s="11">
        <f>+$M$63</f>
        <v>2023</v>
      </c>
      <c r="N201" s="11">
        <f>+$N$63</f>
        <v>2024</v>
      </c>
      <c r="O201" s="11">
        <f>+$O$63</f>
        <v>2025</v>
      </c>
    </row>
    <row r="202" spans="1:20" ht="12.95" customHeight="1" x14ac:dyDescent="0.2">
      <c r="B202" s="18" t="s">
        <v>85</v>
      </c>
    </row>
    <row r="203" spans="1:20" ht="12.95" customHeight="1" x14ac:dyDescent="0.2">
      <c r="B203" s="158" t="str">
        <f>+B122</f>
        <v>Long-Term Debt</v>
      </c>
      <c r="C203" s="20"/>
      <c r="D203" s="20"/>
      <c r="E203" s="20"/>
      <c r="F203" s="20"/>
      <c r="G203" s="20"/>
      <c r="H203" s="20"/>
      <c r="I203" s="20"/>
      <c r="J203" s="20"/>
      <c r="K203" s="170">
        <f>+K241</f>
        <v>0</v>
      </c>
      <c r="L203" s="170">
        <f>+L241</f>
        <v>0</v>
      </c>
      <c r="M203" s="170">
        <f>+M241</f>
        <v>0</v>
      </c>
      <c r="N203" s="170">
        <f>+N241</f>
        <v>0</v>
      </c>
      <c r="O203" s="170">
        <f>+O241</f>
        <v>0</v>
      </c>
    </row>
    <row r="204" spans="1:20" s="21" customFormat="1" ht="12.95" customHeight="1" x14ac:dyDescent="0.2">
      <c r="B204" s="21" t="s">
        <v>86</v>
      </c>
      <c r="H204" s="78"/>
      <c r="I204" s="78"/>
      <c r="J204" s="78"/>
      <c r="K204" s="147">
        <f>+SUM(K203)</f>
        <v>0</v>
      </c>
      <c r="L204" s="147">
        <f>+SUM(L203)</f>
        <v>0</v>
      </c>
      <c r="M204" s="147">
        <f>+SUM(M203)</f>
        <v>0</v>
      </c>
      <c r="N204" s="147">
        <f>+SUM(N203)</f>
        <v>0</v>
      </c>
      <c r="O204" s="147">
        <f>+SUM(O203)</f>
        <v>0</v>
      </c>
    </row>
    <row r="206" spans="1:20" ht="12.95" customHeight="1" x14ac:dyDescent="0.2">
      <c r="B206" s="18" t="s">
        <v>326</v>
      </c>
    </row>
    <row r="207" spans="1:20" ht="12.95" customHeight="1" x14ac:dyDescent="0.2">
      <c r="B207" s="1" t="s">
        <v>87</v>
      </c>
      <c r="K207" s="160">
        <f ca="1">+K182+K186</f>
        <v>190.31800259785936</v>
      </c>
      <c r="L207" s="160">
        <f ca="1">+L182+L186</f>
        <v>209.41022211079007</v>
      </c>
      <c r="M207" s="160">
        <f ca="1">+M182+M186</f>
        <v>230.77693916034073</v>
      </c>
      <c r="N207" s="160">
        <f ca="1">+N182+N186</f>
        <v>254.72742231674894</v>
      </c>
      <c r="O207" s="160">
        <f ca="1">+O182+O186</f>
        <v>281.61758016688748</v>
      </c>
    </row>
    <row r="208" spans="1:20" ht="12.95" customHeight="1" x14ac:dyDescent="0.2">
      <c r="B208" s="1" t="s">
        <v>88</v>
      </c>
      <c r="K208" s="137">
        <f>+K204</f>
        <v>0</v>
      </c>
      <c r="L208" s="137">
        <f>+L204</f>
        <v>0</v>
      </c>
      <c r="M208" s="137">
        <f>+M204</f>
        <v>0</v>
      </c>
      <c r="N208" s="137">
        <f>+N204</f>
        <v>0</v>
      </c>
      <c r="O208" s="137">
        <f>+O204</f>
        <v>0</v>
      </c>
    </row>
    <row r="209" spans="1:17" s="92" customFormat="1" ht="12.95" customHeight="1" x14ac:dyDescent="0.2">
      <c r="B209" s="16" t="s">
        <v>323</v>
      </c>
      <c r="C209" s="16"/>
      <c r="D209" s="16"/>
      <c r="E209" s="16"/>
      <c r="F209" s="16"/>
      <c r="G209" s="16"/>
      <c r="H209" s="16"/>
      <c r="I209" s="16"/>
      <c r="J209" s="16"/>
      <c r="K209" s="155">
        <f ca="1">SUM(K207:K208)</f>
        <v>190.31800259785936</v>
      </c>
      <c r="L209" s="155">
        <f ca="1">SUM(L207:L208)</f>
        <v>209.41022211079007</v>
      </c>
      <c r="M209" s="155">
        <f ca="1">SUM(M207:M208)</f>
        <v>230.77693916034073</v>
      </c>
      <c r="N209" s="155">
        <f ca="1">SUM(N207:N208)</f>
        <v>254.72742231674894</v>
      </c>
      <c r="O209" s="155">
        <f ca="1">SUM(O207:O208)</f>
        <v>281.61758016688748</v>
      </c>
    </row>
    <row r="210" spans="1:17" ht="12.95" customHeight="1" x14ac:dyDescent="0.2">
      <c r="B210" s="1" t="s">
        <v>115</v>
      </c>
      <c r="K210" s="400">
        <f>+K280</f>
        <v>0</v>
      </c>
      <c r="L210" s="400">
        <f>+L280</f>
        <v>0</v>
      </c>
      <c r="M210" s="400">
        <f>+M280</f>
        <v>0</v>
      </c>
      <c r="N210" s="400">
        <f>+N280</f>
        <v>0</v>
      </c>
      <c r="O210" s="400">
        <f>+O280</f>
        <v>0</v>
      </c>
      <c r="Q210" s="81" t="s">
        <v>401</v>
      </c>
    </row>
    <row r="211" spans="1:17" ht="12.95" customHeight="1" x14ac:dyDescent="0.2">
      <c r="B211" s="1" t="s">
        <v>116</v>
      </c>
      <c r="K211" s="400">
        <f>+K290</f>
        <v>-5</v>
      </c>
      <c r="L211" s="400">
        <f>+L290</f>
        <v>-5</v>
      </c>
      <c r="M211" s="400">
        <f>+M290</f>
        <v>-5</v>
      </c>
      <c r="N211" s="400">
        <f>+N290</f>
        <v>-5</v>
      </c>
      <c r="O211" s="400">
        <f>+O290</f>
        <v>-5</v>
      </c>
      <c r="Q211" s="81" t="s">
        <v>403</v>
      </c>
    </row>
    <row r="212" spans="1:17" ht="12.95" customHeight="1" x14ac:dyDescent="0.2">
      <c r="B212" s="20" t="s">
        <v>117</v>
      </c>
      <c r="C212" s="20"/>
      <c r="D212" s="20"/>
      <c r="E212" s="20"/>
      <c r="F212" s="20"/>
      <c r="G212" s="20"/>
      <c r="H212" s="20"/>
      <c r="I212" s="20"/>
      <c r="J212" s="20"/>
      <c r="K212" s="301">
        <f ca="1">+K299</f>
        <v>-9.5598419593073203</v>
      </c>
      <c r="L212" s="301">
        <f ca="1">+L299</f>
        <v>-10.535774982089725</v>
      </c>
      <c r="M212" s="301">
        <f ca="1">+M299</f>
        <v>-11.628489147608832</v>
      </c>
      <c r="N212" s="301">
        <f ca="1">+N299</f>
        <v>-12.853940103802252</v>
      </c>
      <c r="O212" s="301">
        <f ca="1">+O299</f>
        <v>-14.230496322393527</v>
      </c>
      <c r="Q212" s="81" t="s">
        <v>402</v>
      </c>
    </row>
    <row r="213" spans="1:17" s="21" customFormat="1" ht="12.95" customHeight="1" x14ac:dyDescent="0.2">
      <c r="B213" s="21" t="s">
        <v>324</v>
      </c>
      <c r="C213" s="92"/>
      <c r="D213" s="92"/>
      <c r="E213" s="92"/>
      <c r="F213" s="92"/>
      <c r="G213" s="92"/>
      <c r="H213" s="92"/>
      <c r="I213" s="92"/>
      <c r="J213" s="92"/>
      <c r="K213" s="94">
        <f ca="1">+SUM(K209:K212)</f>
        <v>175.75816063855206</v>
      </c>
      <c r="L213" s="94">
        <f ca="1">+SUM(L209:L212)</f>
        <v>193.87444712870035</v>
      </c>
      <c r="M213" s="94">
        <f ca="1">+SUM(M209:M212)</f>
        <v>214.1484500127319</v>
      </c>
      <c r="N213" s="94">
        <f ca="1">+SUM(N209:N212)</f>
        <v>236.8734822129467</v>
      </c>
      <c r="O213" s="94">
        <f ca="1">+SUM(O209:O212)</f>
        <v>262.38708384449393</v>
      </c>
    </row>
    <row r="215" spans="1:17" ht="12.95" customHeight="1" x14ac:dyDescent="0.2">
      <c r="B215" s="1" t="s">
        <v>89</v>
      </c>
      <c r="H215" s="23"/>
      <c r="I215" s="23"/>
      <c r="J215" s="23"/>
      <c r="K215" s="160">
        <f>+J103</f>
        <v>713.27823871970929</v>
      </c>
      <c r="L215" s="160">
        <f ca="1">+K103</f>
        <v>889.03639935826141</v>
      </c>
      <c r="M215" s="160">
        <f ca="1">+L103</f>
        <v>1082.9108464869619</v>
      </c>
      <c r="N215" s="160">
        <f ca="1">+M103</f>
        <v>1297.0592964996938</v>
      </c>
      <c r="O215" s="160">
        <f ca="1">+N103</f>
        <v>1533.9327787126406</v>
      </c>
    </row>
    <row r="216" spans="1:17" ht="12.95" customHeight="1" x14ac:dyDescent="0.2">
      <c r="B216" s="1" t="s">
        <v>90</v>
      </c>
      <c r="H216" s="23"/>
      <c r="I216" s="23"/>
      <c r="J216" s="23"/>
      <c r="K216" s="137">
        <f>-$E$6</f>
        <v>-5</v>
      </c>
      <c r="L216" s="137">
        <f>-$E$6</f>
        <v>-5</v>
      </c>
      <c r="M216" s="137">
        <f>-$E$6</f>
        <v>-5</v>
      </c>
      <c r="N216" s="137">
        <f>-$E$6</f>
        <v>-5</v>
      </c>
      <c r="O216" s="137">
        <f>-$E$6</f>
        <v>-5</v>
      </c>
    </row>
    <row r="217" spans="1:17" ht="12.95" customHeight="1" x14ac:dyDescent="0.2">
      <c r="B217" s="1" t="s">
        <v>325</v>
      </c>
      <c r="H217" s="23"/>
      <c r="I217" s="23"/>
      <c r="J217" s="23"/>
      <c r="K217" s="137">
        <f ca="1">+K213</f>
        <v>175.75816063855206</v>
      </c>
      <c r="L217" s="137">
        <f ca="1">+L213</f>
        <v>193.87444712870035</v>
      </c>
      <c r="M217" s="137">
        <f ca="1">+M213</f>
        <v>214.1484500127319</v>
      </c>
      <c r="N217" s="137">
        <f ca="1">+N213</f>
        <v>236.8734822129467</v>
      </c>
      <c r="O217" s="137">
        <f ca="1">+O213</f>
        <v>262.38708384449393</v>
      </c>
    </row>
    <row r="218" spans="1:17" s="92" customFormat="1" ht="12.95" customHeight="1" x14ac:dyDescent="0.2">
      <c r="B218" s="16" t="s">
        <v>91</v>
      </c>
      <c r="C218" s="16"/>
      <c r="D218" s="16"/>
      <c r="E218" s="16"/>
      <c r="F218" s="16"/>
      <c r="G218" s="16"/>
      <c r="H218" s="71"/>
      <c r="I218" s="71"/>
      <c r="J218" s="71"/>
      <c r="K218" s="155">
        <f ca="1">SUM(K215:K217)</f>
        <v>884.03639935826141</v>
      </c>
      <c r="L218" s="155">
        <f ca="1">SUM(L215:L217)</f>
        <v>1077.9108464869619</v>
      </c>
      <c r="M218" s="155">
        <f ca="1">SUM(M215:M217)</f>
        <v>1292.0592964996938</v>
      </c>
      <c r="N218" s="155">
        <f ca="1">SUM(N215:N217)</f>
        <v>1528.9327787126406</v>
      </c>
      <c r="O218" s="155">
        <f ca="1">SUM(O215:O217)</f>
        <v>1791.3198625571345</v>
      </c>
    </row>
    <row r="220" spans="1:17" s="21" customFormat="1" ht="12.95" customHeight="1" x14ac:dyDescent="0.2">
      <c r="B220" s="18" t="s">
        <v>154</v>
      </c>
    </row>
    <row r="221" spans="1:17" ht="12.95" customHeight="1" x14ac:dyDescent="0.2">
      <c r="B221" s="158" t="str">
        <f>+B121</f>
        <v>Revolving Credit Facility</v>
      </c>
      <c r="C221" s="20"/>
      <c r="D221" s="20"/>
      <c r="E221" s="20"/>
      <c r="F221" s="20"/>
      <c r="G221" s="20"/>
      <c r="H221" s="20"/>
      <c r="I221" s="20"/>
      <c r="J221" s="20"/>
      <c r="K221" s="140">
        <f ca="1">+K230</f>
        <v>0</v>
      </c>
      <c r="L221" s="140">
        <f ca="1">+L230</f>
        <v>0</v>
      </c>
      <c r="M221" s="140">
        <f ca="1">+M230</f>
        <v>0</v>
      </c>
      <c r="N221" s="140">
        <f ca="1">+N230</f>
        <v>0</v>
      </c>
      <c r="O221" s="140">
        <f ca="1">+O230</f>
        <v>0</v>
      </c>
    </row>
    <row r="222" spans="1:17" s="21" customFormat="1" ht="12.95" customHeight="1" x14ac:dyDescent="0.2">
      <c r="B222" s="92" t="s">
        <v>155</v>
      </c>
      <c r="C222" s="92"/>
      <c r="D222" s="92"/>
      <c r="E222" s="92"/>
      <c r="F222" s="92"/>
      <c r="G222" s="92"/>
      <c r="H222" s="92"/>
      <c r="I222" s="92"/>
      <c r="J222" s="92"/>
      <c r="K222" s="154">
        <f ca="1">SUM(K221:K221)</f>
        <v>0</v>
      </c>
      <c r="L222" s="154">
        <f ca="1">SUM(L221:L221)</f>
        <v>0</v>
      </c>
      <c r="M222" s="154">
        <f ca="1">SUM(M221:M221)</f>
        <v>0</v>
      </c>
      <c r="N222" s="154">
        <f ca="1">SUM(N221:N221)</f>
        <v>0</v>
      </c>
      <c r="O222" s="154">
        <f ca="1">SUM(O221:O221)</f>
        <v>0</v>
      </c>
    </row>
    <row r="224" spans="1:17" ht="12.95" customHeight="1" x14ac:dyDescent="0.2">
      <c r="A224" s="1" t="s">
        <v>0</v>
      </c>
      <c r="B224" s="26" t="s">
        <v>92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30"/>
    </row>
    <row r="226" spans="2:15" ht="12.95" customHeight="1" x14ac:dyDescent="0.35">
      <c r="K226" s="9" t="str">
        <f>+K200</f>
        <v>Fiscal Year Ended 12/31</v>
      </c>
      <c r="L226" s="10"/>
      <c r="M226" s="10"/>
      <c r="N226" s="10"/>
      <c r="O226" s="10"/>
    </row>
    <row r="227" spans="2:15" ht="12.95" customHeight="1" x14ac:dyDescent="0.2">
      <c r="K227" s="11">
        <f>+$K$63</f>
        <v>2021</v>
      </c>
      <c r="L227" s="11">
        <f>+$L$63</f>
        <v>2022</v>
      </c>
      <c r="M227" s="11">
        <f>+$M$63</f>
        <v>2023</v>
      </c>
      <c r="N227" s="11">
        <f>+$N$63</f>
        <v>2024</v>
      </c>
      <c r="O227" s="11">
        <f>+$O$63</f>
        <v>2025</v>
      </c>
    </row>
    <row r="228" spans="2:15" ht="12.95" customHeight="1" x14ac:dyDescent="0.2">
      <c r="B228" s="174" t="str">
        <f>+B221</f>
        <v>Revolving Credit Facility</v>
      </c>
      <c r="C228" s="20"/>
      <c r="D228" s="20"/>
      <c r="E228" s="20"/>
      <c r="F228" s="20"/>
      <c r="G228" s="20"/>
      <c r="H228" s="20"/>
      <c r="I228" s="20"/>
      <c r="J228" s="20"/>
      <c r="K228" s="93"/>
      <c r="L228" s="20"/>
      <c r="M228" s="20"/>
      <c r="N228" s="20"/>
      <c r="O228" s="20"/>
    </row>
    <row r="229" spans="2:15" ht="12.95" customHeight="1" x14ac:dyDescent="0.2">
      <c r="B229" s="1" t="s">
        <v>93</v>
      </c>
      <c r="K229" s="118">
        <f>+J121</f>
        <v>0</v>
      </c>
      <c r="L229" s="160">
        <f ca="1">+K231</f>
        <v>0</v>
      </c>
      <c r="M229" s="160">
        <f ca="1">+L231</f>
        <v>0</v>
      </c>
      <c r="N229" s="160">
        <f ca="1">+M231</f>
        <v>0</v>
      </c>
      <c r="O229" s="160">
        <f ca="1">+N231</f>
        <v>0</v>
      </c>
    </row>
    <row r="230" spans="2:15" ht="12.95" customHeight="1" x14ac:dyDescent="0.2">
      <c r="B230" s="20" t="s">
        <v>94</v>
      </c>
      <c r="C230" s="20"/>
      <c r="D230" s="20"/>
      <c r="E230" s="20"/>
      <c r="F230" s="20"/>
      <c r="G230" s="20"/>
      <c r="H230" s="20"/>
      <c r="I230" s="20"/>
      <c r="J230" s="20"/>
      <c r="K230" s="140">
        <f ca="1">-MIN(K229,K218)</f>
        <v>0</v>
      </c>
      <c r="L230" s="140">
        <f ca="1">-MIN(L229,L218)</f>
        <v>0</v>
      </c>
      <c r="M230" s="140">
        <f ca="1">-MIN(M229,M218)</f>
        <v>0</v>
      </c>
      <c r="N230" s="140">
        <f ca="1">-MIN(N229,N218)</f>
        <v>0</v>
      </c>
      <c r="O230" s="140">
        <f ca="1">-MIN(O229,O218)</f>
        <v>0</v>
      </c>
    </row>
    <row r="231" spans="2:15" ht="12.95" customHeight="1" x14ac:dyDescent="0.2">
      <c r="B231" s="21" t="s">
        <v>95</v>
      </c>
      <c r="C231" s="21"/>
      <c r="D231" s="21"/>
      <c r="E231" s="21"/>
      <c r="F231" s="21"/>
      <c r="G231" s="21"/>
      <c r="H231" s="21"/>
      <c r="I231" s="21"/>
      <c r="J231" s="21"/>
      <c r="K231" s="147">
        <f ca="1">SUM(K229:K230)</f>
        <v>0</v>
      </c>
      <c r="L231" s="147">
        <f ca="1">SUM(L229:L230)</f>
        <v>0</v>
      </c>
      <c r="M231" s="147">
        <f ca="1">SUM(M229:M230)</f>
        <v>0</v>
      </c>
      <c r="N231" s="147">
        <f ca="1">SUM(N229:N230)</f>
        <v>0</v>
      </c>
      <c r="O231" s="147">
        <f ca="1">SUM(O229:O230)</f>
        <v>0</v>
      </c>
    </row>
    <row r="232" spans="2:15" ht="12.95" customHeight="1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175"/>
      <c r="L232" s="175"/>
      <c r="M232" s="175"/>
      <c r="N232" s="175"/>
      <c r="O232" s="175"/>
    </row>
    <row r="233" spans="2:15" ht="12.95" customHeight="1" x14ac:dyDescent="0.25">
      <c r="B233" s="1" t="s">
        <v>96</v>
      </c>
      <c r="G233" s="1" t="s">
        <v>169</v>
      </c>
      <c r="H233"/>
      <c r="I233" s="299">
        <v>50</v>
      </c>
      <c r="K233" s="137">
        <f ca="1">+AVERAGE(K229,K231)</f>
        <v>0</v>
      </c>
      <c r="L233" s="137">
        <f ca="1">+AVERAGE(L229,L231)</f>
        <v>0</v>
      </c>
      <c r="M233" s="137">
        <f ca="1">+AVERAGE(M229,M231)</f>
        <v>0</v>
      </c>
      <c r="N233" s="137">
        <f ca="1">+AVERAGE(N229,N231)</f>
        <v>0</v>
      </c>
      <c r="O233" s="137">
        <f ca="1">+AVERAGE(O229,O231)</f>
        <v>0</v>
      </c>
    </row>
    <row r="234" spans="2:15" ht="12.95" customHeight="1" x14ac:dyDescent="0.2">
      <c r="B234" s="1" t="s">
        <v>97</v>
      </c>
      <c r="G234" s="1" t="s">
        <v>138</v>
      </c>
      <c r="I234" s="258">
        <v>0.05</v>
      </c>
      <c r="K234" s="160">
        <f ca="1">+IF($E$5=1,K233,0)*$I$234</f>
        <v>0</v>
      </c>
      <c r="L234" s="160">
        <f ca="1">+IF($E$5=1,L233,0)*$I$234</f>
        <v>0</v>
      </c>
      <c r="M234" s="160">
        <f ca="1">+IF($E$5=1,M233,0)*$I$234</f>
        <v>0</v>
      </c>
      <c r="N234" s="160">
        <f ca="1">+IF($E$5=1,N233,0)*$I$234</f>
        <v>0</v>
      </c>
      <c r="O234" s="160">
        <f ca="1">+IF($E$5=1,O233,0)*$I$234</f>
        <v>0</v>
      </c>
    </row>
    <row r="235" spans="2:15" ht="3" customHeight="1" x14ac:dyDescent="0.2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2:15" ht="12.95" hidden="1" customHeight="1" outlineLevel="1" x14ac:dyDescent="0.2"/>
    <row r="237" spans="2:15" ht="12.95" hidden="1" customHeight="1" outlineLevel="1" x14ac:dyDescent="0.2">
      <c r="B237" s="1" t="s">
        <v>98</v>
      </c>
      <c r="K237" s="259">
        <f ca="1">+IF(K231&gt;$I$233,1,0)</f>
        <v>0</v>
      </c>
      <c r="L237" s="259">
        <f ca="1">+IF(L231&gt;$I$233,1,0)</f>
        <v>0</v>
      </c>
      <c r="M237" s="259">
        <f ca="1">+IF(M231&gt;$I$233,1,0)</f>
        <v>0</v>
      </c>
      <c r="N237" s="259">
        <f ca="1">+IF(N231&gt;$I$233,1,0)</f>
        <v>0</v>
      </c>
      <c r="O237" s="259">
        <f ca="1">+IF(O231&gt;$I$233,1,0)</f>
        <v>0</v>
      </c>
    </row>
    <row r="238" spans="2:15" ht="12.95" customHeight="1" collapsed="1" x14ac:dyDescent="0.2"/>
    <row r="239" spans="2:15" ht="12.95" customHeight="1" x14ac:dyDescent="0.2">
      <c r="B239" s="174" t="str">
        <f>+B122</f>
        <v>Long-Term Debt</v>
      </c>
      <c r="C239" s="28"/>
      <c r="D239" s="28"/>
      <c r="E239" s="28"/>
      <c r="F239" s="28"/>
      <c r="G239" s="28"/>
      <c r="H239" s="20"/>
      <c r="I239" s="28"/>
      <c r="J239" s="28"/>
      <c r="K239" s="28"/>
      <c r="L239" s="28"/>
      <c r="M239" s="28"/>
      <c r="N239" s="28"/>
      <c r="O239" s="28"/>
    </row>
    <row r="240" spans="2:15" ht="12.95" customHeight="1" x14ac:dyDescent="0.2">
      <c r="B240" s="1" t="s">
        <v>93</v>
      </c>
      <c r="K240" s="117">
        <f>+J122</f>
        <v>50</v>
      </c>
      <c r="L240" s="160">
        <f>+K242</f>
        <v>50</v>
      </c>
      <c r="M240" s="160">
        <f>+L242</f>
        <v>50</v>
      </c>
      <c r="N240" s="160">
        <f>+M242</f>
        <v>50</v>
      </c>
      <c r="O240" s="160">
        <f>+N242</f>
        <v>50</v>
      </c>
    </row>
    <row r="241" spans="1:15" ht="12.95" customHeight="1" x14ac:dyDescent="0.2">
      <c r="B241" s="20" t="s">
        <v>99</v>
      </c>
      <c r="C241" s="20"/>
      <c r="D241" s="20"/>
      <c r="E241" s="20"/>
      <c r="F241" s="20"/>
      <c r="G241" s="20"/>
      <c r="H241" s="20"/>
      <c r="I241" s="20"/>
      <c r="J241" s="20"/>
      <c r="K241" s="138">
        <v>0</v>
      </c>
      <c r="L241" s="138">
        <v>0</v>
      </c>
      <c r="M241" s="138">
        <v>0</v>
      </c>
      <c r="N241" s="138">
        <v>0</v>
      </c>
      <c r="O241" s="138">
        <v>0</v>
      </c>
    </row>
    <row r="242" spans="1:15" ht="12.95" customHeight="1" x14ac:dyDescent="0.2">
      <c r="B242" s="92" t="s">
        <v>95</v>
      </c>
      <c r="C242" s="92"/>
      <c r="D242" s="92"/>
      <c r="E242" s="92"/>
      <c r="F242" s="92"/>
      <c r="G242" s="92"/>
      <c r="H242" s="93"/>
      <c r="I242" s="92"/>
      <c r="J242" s="92"/>
      <c r="K242" s="154">
        <f>SUM(K240:K241)</f>
        <v>50</v>
      </c>
      <c r="L242" s="154">
        <f>SUM(L240:L241)</f>
        <v>50</v>
      </c>
      <c r="M242" s="154">
        <f>SUM(M240:M241)</f>
        <v>50</v>
      </c>
      <c r="N242" s="154">
        <f>SUM(N240:N241)</f>
        <v>50</v>
      </c>
      <c r="O242" s="154">
        <f>SUM(O240:O241)</f>
        <v>50</v>
      </c>
    </row>
    <row r="243" spans="1:15" ht="12.95" customHeight="1" x14ac:dyDescent="0.2">
      <c r="B243" s="21"/>
      <c r="C243" s="21"/>
      <c r="D243" s="21"/>
      <c r="E243" s="21"/>
      <c r="F243" s="21"/>
      <c r="G243" s="21"/>
      <c r="I243" s="21"/>
      <c r="J243" s="21"/>
      <c r="K243" s="21"/>
      <c r="L243" s="21"/>
      <c r="M243" s="21"/>
      <c r="N243" s="21"/>
      <c r="O243" s="21"/>
    </row>
    <row r="244" spans="1:15" ht="12.95" customHeight="1" x14ac:dyDescent="0.2">
      <c r="B244" s="1" t="s">
        <v>96</v>
      </c>
      <c r="K244" s="160">
        <f>+AVERAGE(K240,K242)</f>
        <v>50</v>
      </c>
      <c r="L244" s="160">
        <f>+AVERAGE(L240,L242)</f>
        <v>50</v>
      </c>
      <c r="M244" s="160">
        <f>+AVERAGE(M240,M242)</f>
        <v>50</v>
      </c>
      <c r="N244" s="160">
        <f>+AVERAGE(N240,N242)</f>
        <v>50</v>
      </c>
      <c r="O244" s="160">
        <f>+AVERAGE(O240,O242)</f>
        <v>50</v>
      </c>
    </row>
    <row r="245" spans="1:15" ht="12.95" customHeight="1" x14ac:dyDescent="0.2">
      <c r="B245" s="1" t="s">
        <v>97</v>
      </c>
      <c r="G245" s="93" t="s">
        <v>138</v>
      </c>
      <c r="H245" s="93"/>
      <c r="I245" s="173">
        <v>0.05</v>
      </c>
      <c r="K245" s="160">
        <f>+IF($E$5=1,K244,0)*$I$245</f>
        <v>2.5</v>
      </c>
      <c r="L245" s="160">
        <f>+IF($E$5=1,L244,0)*$I$245</f>
        <v>2.5</v>
      </c>
      <c r="M245" s="160">
        <f>+IF($E$5=1,M244,0)*$I$245</f>
        <v>2.5</v>
      </c>
      <c r="N245" s="160">
        <f>+IF($E$5=1,N244,0)*$I$245</f>
        <v>2.5</v>
      </c>
      <c r="O245" s="160">
        <f>+IF($E$5=1,O244,0)*$I$245</f>
        <v>2.5</v>
      </c>
    </row>
    <row r="246" spans="1:15" ht="3" customHeight="1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8" spans="1:15" ht="12.95" customHeight="1" x14ac:dyDescent="0.2">
      <c r="A248" s="1" t="s">
        <v>0</v>
      </c>
      <c r="B248" s="26" t="s">
        <v>118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30"/>
    </row>
    <row r="250" spans="1:15" ht="12.95" customHeight="1" x14ac:dyDescent="0.35">
      <c r="K250" s="9" t="str">
        <f>+K226</f>
        <v>Fiscal Year Ended 12/31</v>
      </c>
      <c r="L250" s="10"/>
      <c r="M250" s="10"/>
      <c r="N250" s="10"/>
      <c r="O250" s="10"/>
    </row>
    <row r="251" spans="1:15" ht="12.95" customHeight="1" x14ac:dyDescent="0.2">
      <c r="K251" s="11">
        <f>+$K$63</f>
        <v>2021</v>
      </c>
      <c r="L251" s="11">
        <f>+$L$63</f>
        <v>2022</v>
      </c>
      <c r="M251" s="11">
        <f>+$M$63</f>
        <v>2023</v>
      </c>
      <c r="N251" s="11">
        <f>+$N$63</f>
        <v>2024</v>
      </c>
      <c r="O251" s="11">
        <f>+$O$63</f>
        <v>2025</v>
      </c>
    </row>
    <row r="252" spans="1:15" ht="12.95" customHeight="1" x14ac:dyDescent="0.2">
      <c r="B252" s="20" t="s">
        <v>93</v>
      </c>
      <c r="C252" s="20"/>
      <c r="D252" s="20"/>
      <c r="E252" s="20"/>
      <c r="F252" s="20"/>
      <c r="G252" s="20"/>
      <c r="H252" s="20"/>
      <c r="I252" s="20"/>
      <c r="J252" s="20"/>
      <c r="K252" s="170">
        <f>+J103</f>
        <v>713.27823871970929</v>
      </c>
      <c r="L252" s="170">
        <f ca="1">+K103</f>
        <v>889.03639935826141</v>
      </c>
      <c r="M252" s="170">
        <f ca="1">+L103</f>
        <v>1082.9108464869619</v>
      </c>
      <c r="N252" s="170">
        <f ca="1">+M103</f>
        <v>1297.0592964996938</v>
      </c>
      <c r="O252" s="170">
        <f ca="1">+N103</f>
        <v>1533.9327787126406</v>
      </c>
    </row>
    <row r="253" spans="1:15" s="21" customFormat="1" ht="12.95" customHeight="1" x14ac:dyDescent="0.2">
      <c r="B253" s="16" t="s">
        <v>95</v>
      </c>
      <c r="C253" s="16"/>
      <c r="D253" s="16"/>
      <c r="E253" s="16"/>
      <c r="F253" s="16"/>
      <c r="G253" s="16"/>
      <c r="H253" s="16"/>
      <c r="I253" s="16"/>
      <c r="J253" s="16"/>
      <c r="K253" s="155">
        <f ca="1">+K103</f>
        <v>889.03639935826141</v>
      </c>
      <c r="L253" s="155">
        <f ca="1">+L103</f>
        <v>1082.9108464869619</v>
      </c>
      <c r="M253" s="155">
        <f ca="1">+M103</f>
        <v>1297.0592964996938</v>
      </c>
      <c r="N253" s="155">
        <f ca="1">+N103</f>
        <v>1533.9327787126406</v>
      </c>
      <c r="O253" s="155">
        <f ca="1">+O103</f>
        <v>1796.3198625571345</v>
      </c>
    </row>
    <row r="255" spans="1:15" ht="12.95" customHeight="1" x14ac:dyDescent="0.2">
      <c r="B255" s="1" t="s">
        <v>96</v>
      </c>
      <c r="K255" s="137">
        <f ca="1">+AVERAGE(K252,K253)</f>
        <v>801.15731903898541</v>
      </c>
      <c r="L255" s="137">
        <f ca="1">+AVERAGE(L252,L253)</f>
        <v>985.97362292261164</v>
      </c>
      <c r="M255" s="137">
        <f ca="1">+AVERAGE(M252,M253)</f>
        <v>1189.9850714933277</v>
      </c>
      <c r="N255" s="137">
        <f ca="1">+AVERAGE(N252,N253)</f>
        <v>1415.4960376061672</v>
      </c>
      <c r="O255" s="137">
        <f ca="1">+AVERAGE(O252,O253)</f>
        <v>1665.1263206348876</v>
      </c>
    </row>
    <row r="256" spans="1:15" ht="12.95" customHeight="1" x14ac:dyDescent="0.2">
      <c r="B256" s="20" t="s">
        <v>100</v>
      </c>
      <c r="C256" s="20"/>
      <c r="D256" s="20"/>
      <c r="E256" s="20"/>
      <c r="F256" s="20"/>
      <c r="G256" s="260" t="s">
        <v>101</v>
      </c>
      <c r="H256" s="20"/>
      <c r="I256" s="79">
        <v>0.01</v>
      </c>
      <c r="J256" s="20"/>
      <c r="K256" s="170">
        <f ca="1">+IF($E$5=1,K255,0)*$I$256</f>
        <v>8.0115731903898535</v>
      </c>
      <c r="L256" s="170">
        <f ca="1">+IF($E$5=1,L255,0)*$I$256</f>
        <v>9.859736229226117</v>
      </c>
      <c r="M256" s="170">
        <f ca="1">+IF($E$5=1,M255,0)*$I$256</f>
        <v>11.899850714933278</v>
      </c>
      <c r="N256" s="170">
        <f ca="1">+IF($E$5=1,N255,0)*$I$256</f>
        <v>14.154960376061672</v>
      </c>
      <c r="O256" s="170">
        <f ca="1">+IF($E$5=1,O255,0)*$I$256</f>
        <v>16.651263206348876</v>
      </c>
    </row>
    <row r="257" spans="1:17" ht="12.95" customHeight="1" x14ac:dyDescent="0.2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Q257" s="81" t="s">
        <v>411</v>
      </c>
    </row>
    <row r="258" spans="1:17" ht="12.95" customHeight="1" x14ac:dyDescent="0.2">
      <c r="A258" s="1" t="s">
        <v>0</v>
      </c>
      <c r="B258" s="26" t="s">
        <v>119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30"/>
      <c r="Q258" s="441"/>
    </row>
    <row r="259" spans="1:17" ht="12.95" hidden="1" customHeight="1" outlineLevel="1" x14ac:dyDescent="0.2">
      <c r="Q259" s="441"/>
    </row>
    <row r="260" spans="1:17" ht="12.95" hidden="1" customHeight="1" outlineLevel="1" x14ac:dyDescent="0.2">
      <c r="B260" s="28" t="s">
        <v>66</v>
      </c>
      <c r="C260" s="20"/>
      <c r="D260" s="20"/>
      <c r="E260" s="20"/>
      <c r="F260" s="20"/>
      <c r="G260" s="20"/>
      <c r="H260" s="158"/>
      <c r="I260" s="158"/>
      <c r="J260" s="158"/>
      <c r="K260" s="158"/>
      <c r="L260" s="158"/>
      <c r="M260" s="158"/>
      <c r="N260" s="158"/>
      <c r="O260" s="158"/>
      <c r="Q260" s="441"/>
    </row>
    <row r="261" spans="1:17" ht="12.95" hidden="1" customHeight="1" outlineLevel="1" x14ac:dyDescent="0.2">
      <c r="B261" s="1" t="str">
        <f>+B145</f>
        <v>Revenue</v>
      </c>
      <c r="H261" s="137">
        <f t="shared" ref="H261:O263" si="46">+H145</f>
        <v>1209.9228781500001</v>
      </c>
      <c r="I261" s="137">
        <f t="shared" si="46"/>
        <v>1288.5678652297499</v>
      </c>
      <c r="J261" s="136">
        <f t="shared" si="46"/>
        <v>1378.7676157958326</v>
      </c>
      <c r="K261" s="136">
        <f t="shared" ca="1" si="46"/>
        <v>1478.7282679410305</v>
      </c>
      <c r="L261" s="137">
        <f t="shared" ca="1" si="46"/>
        <v>1589.6328880366079</v>
      </c>
      <c r="M261" s="137">
        <f t="shared" ca="1" si="46"/>
        <v>1712.8294368594452</v>
      </c>
      <c r="N261" s="137">
        <f t="shared" ca="1" si="46"/>
        <v>1849.8557918082008</v>
      </c>
      <c r="O261" s="137">
        <f t="shared" ca="1" si="46"/>
        <v>2002.4688946323774</v>
      </c>
      <c r="Q261" s="441"/>
    </row>
    <row r="262" spans="1:17" ht="12.95" hidden="1" customHeight="1" outlineLevel="1" x14ac:dyDescent="0.2">
      <c r="B262" s="1" t="str">
        <f>+B146</f>
        <v>Cost of Goods Sold (Cost of Sales)</v>
      </c>
      <c r="H262" s="137">
        <f t="shared" si="46"/>
        <v>679.97665752030014</v>
      </c>
      <c r="I262" s="137">
        <f t="shared" si="46"/>
        <v>721.59800452866</v>
      </c>
      <c r="J262" s="136">
        <f t="shared" si="46"/>
        <v>769.35232961407462</v>
      </c>
      <c r="K262" s="136">
        <f t="shared" ca="1" si="46"/>
        <v>822.17291697521307</v>
      </c>
      <c r="L262" s="137">
        <f t="shared" ca="1" si="46"/>
        <v>880.65661997228085</v>
      </c>
      <c r="M262" s="137">
        <f t="shared" ca="1" si="46"/>
        <v>945.48184914641388</v>
      </c>
      <c r="N262" s="137">
        <f t="shared" ca="1" si="46"/>
        <v>1017.4206854945105</v>
      </c>
      <c r="O262" s="137">
        <f t="shared" ca="1" si="46"/>
        <v>1097.3529542585429</v>
      </c>
      <c r="Q262" s="441"/>
    </row>
    <row r="263" spans="1:17" ht="12.95" hidden="1" customHeight="1" outlineLevel="1" x14ac:dyDescent="0.2">
      <c r="B263" s="20" t="str">
        <f>+B147</f>
        <v>SG&amp;A</v>
      </c>
      <c r="C263" s="20"/>
      <c r="D263" s="20"/>
      <c r="E263" s="20"/>
      <c r="F263" s="20"/>
      <c r="G263" s="20"/>
      <c r="H263" s="140">
        <f t="shared" si="46"/>
        <v>335.75359868662508</v>
      </c>
      <c r="I263" s="140">
        <f t="shared" si="46"/>
        <v>355.64473080341099</v>
      </c>
      <c r="J263" s="140">
        <f t="shared" si="46"/>
        <v>378.47171053595611</v>
      </c>
      <c r="K263" s="140">
        <f t="shared" ca="1" si="46"/>
        <v>403.69281714790134</v>
      </c>
      <c r="L263" s="140">
        <f t="shared" ca="1" si="46"/>
        <v>431.58532910193907</v>
      </c>
      <c r="M263" s="140">
        <f t="shared" ca="1" si="46"/>
        <v>462.46394795205021</v>
      </c>
      <c r="N263" s="140">
        <f t="shared" ca="1" si="46"/>
        <v>496.68628010050196</v>
      </c>
      <c r="O263" s="140">
        <f t="shared" ca="1" si="46"/>
        <v>534.65919486684481</v>
      </c>
      <c r="Q263" s="441"/>
    </row>
    <row r="264" spans="1:17" ht="12.95" customHeight="1" collapsed="1" x14ac:dyDescent="0.2">
      <c r="B264" s="93"/>
      <c r="C264" s="93"/>
      <c r="D264" s="93"/>
      <c r="E264" s="93"/>
      <c r="F264" s="93"/>
      <c r="G264" s="93"/>
      <c r="H264" s="136"/>
      <c r="I264" s="136"/>
      <c r="J264" s="136"/>
      <c r="K264" s="136"/>
      <c r="L264" s="136"/>
      <c r="M264" s="136"/>
      <c r="N264" s="136"/>
      <c r="O264" s="136"/>
      <c r="Q264" s="441"/>
    </row>
    <row r="265" spans="1:17" ht="12.95" customHeight="1" x14ac:dyDescent="0.35">
      <c r="B265" s="81"/>
      <c r="C265" s="81"/>
      <c r="D265" s="81"/>
      <c r="E265" s="81"/>
      <c r="F265" s="81"/>
      <c r="G265" s="97"/>
      <c r="H265" s="98" t="str">
        <f>+$K$250</f>
        <v>Fiscal Year Ended 12/31</v>
      </c>
      <c r="I265" s="108"/>
      <c r="J265" s="98"/>
      <c r="K265" s="31"/>
      <c r="L265" s="99"/>
      <c r="M265" s="99"/>
      <c r="N265" s="99"/>
      <c r="O265" s="99"/>
      <c r="Q265" s="441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  <c r="Q266" s="441"/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+J109</f>
        <v>6.1006255366755866</v>
      </c>
      <c r="L267" s="178">
        <f ca="1">+K270</f>
        <v>7.5793538046166198</v>
      </c>
      <c r="M267" s="178">
        <f ca="1">+L270</f>
        <v>9.1689866926532275</v>
      </c>
      <c r="N267" s="178">
        <f ca="1">+M270</f>
        <v>10.881816129512675</v>
      </c>
      <c r="O267" s="178">
        <f ca="1">+N270</f>
        <v>12.731671921320874</v>
      </c>
      <c r="Q267" s="441"/>
    </row>
    <row r="268" spans="1:17" ht="12.95" customHeight="1" x14ac:dyDescent="0.2">
      <c r="B268" s="81" t="s">
        <v>124</v>
      </c>
      <c r="C268" s="81"/>
      <c r="D268" s="81"/>
      <c r="E268" s="81"/>
      <c r="F268" s="81"/>
      <c r="G268" s="103"/>
      <c r="H268" s="51">
        <v>14.519074537800002</v>
      </c>
      <c r="I268" s="51">
        <v>16.751382247986751</v>
      </c>
      <c r="J268" s="52">
        <v>19.302746621141658</v>
      </c>
      <c r="K268" s="203">
        <f ca="1">+K271*K$261</f>
        <v>21.441559885144944</v>
      </c>
      <c r="L268" s="179">
        <f ca="1">+L271*L$261</f>
        <v>23.84449332054912</v>
      </c>
      <c r="M268" s="179">
        <f ca="1">+M271*M$261</f>
        <v>26.548856271321402</v>
      </c>
      <c r="N268" s="179">
        <f ca="1">+N271*N$261</f>
        <v>29.597692668931213</v>
      </c>
      <c r="O268" s="179">
        <f ca="1">+O271*O$261</f>
        <v>33.040736761434232</v>
      </c>
      <c r="Q268" s="441"/>
    </row>
    <row r="269" spans="1:17" ht="12.95" customHeight="1" x14ac:dyDescent="0.2">
      <c r="B269" s="89" t="s">
        <v>125</v>
      </c>
      <c r="C269" s="89"/>
      <c r="D269" s="89"/>
      <c r="E269" s="89"/>
      <c r="F269" s="89"/>
      <c r="G269" s="104"/>
      <c r="H269" s="68">
        <v>-13.30915165965</v>
      </c>
      <c r="I269" s="68">
        <v>-15.462814382756999</v>
      </c>
      <c r="J269" s="116">
        <v>-17.923979005345824</v>
      </c>
      <c r="K269" s="180">
        <f ca="1">+K272*-K$261</f>
        <v>-19.962831617203911</v>
      </c>
      <c r="L269" s="180">
        <f ca="1">+L272*-L$261</f>
        <v>-22.254860432512512</v>
      </c>
      <c r="M269" s="180">
        <f ca="1">+M272*-M$261</f>
        <v>-24.836026834461958</v>
      </c>
      <c r="N269" s="180">
        <f ca="1">+N272*-N$261</f>
        <v>-27.747836877123014</v>
      </c>
      <c r="O269" s="180">
        <f ca="1">+O272*-O$261</f>
        <v>-31.038267866801853</v>
      </c>
      <c r="Q269" s="441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 ca="1">SUM(K267:K269)</f>
        <v>7.5793538046166198</v>
      </c>
      <c r="L270" s="181">
        <f ca="1">SUM(L267:L269)</f>
        <v>9.1689866926532275</v>
      </c>
      <c r="M270" s="181">
        <f ca="1">SUM(M267:M269)</f>
        <v>10.881816129512675</v>
      </c>
      <c r="N270" s="181">
        <f ca="1">SUM(N267:N269)</f>
        <v>12.731671921320874</v>
      </c>
      <c r="O270" s="181">
        <f ca="1">SUM(O267:O269)</f>
        <v>14.734140815953253</v>
      </c>
      <c r="Q270" s="441"/>
    </row>
    <row r="271" spans="1:17" ht="12.95" customHeight="1" x14ac:dyDescent="0.2">
      <c r="B271" s="81" t="s">
        <v>126</v>
      </c>
      <c r="C271" s="81"/>
      <c r="D271" s="81"/>
      <c r="E271" s="81"/>
      <c r="F271" s="81"/>
      <c r="G271" s="103"/>
      <c r="H271" s="61">
        <f>+H268/H$261</f>
        <v>1.2E-2</v>
      </c>
      <c r="I271" s="61">
        <f>+I268/I$261</f>
        <v>1.3000000000000001E-2</v>
      </c>
      <c r="J271" s="62">
        <f>+J268/J$261</f>
        <v>1.4E-2</v>
      </c>
      <c r="K271" s="205">
        <v>1.4500000000000001E-2</v>
      </c>
      <c r="L271" s="205">
        <v>1.5000000000000001E-2</v>
      </c>
      <c r="M271" s="205">
        <v>1.5500000000000002E-2</v>
      </c>
      <c r="N271" s="205">
        <v>1.6E-2</v>
      </c>
      <c r="O271" s="205">
        <v>1.6500000000000001E-2</v>
      </c>
      <c r="Q271" s="441"/>
    </row>
    <row r="272" spans="1:17" ht="12.95" customHeight="1" x14ac:dyDescent="0.2">
      <c r="B272" s="89" t="s">
        <v>127</v>
      </c>
      <c r="C272" s="89"/>
      <c r="D272" s="89"/>
      <c r="E272" s="89"/>
      <c r="F272" s="89"/>
      <c r="G272" s="104"/>
      <c r="H272" s="65">
        <f>+H269/-H$261</f>
        <v>1.0999999999999999E-2</v>
      </c>
      <c r="I272" s="65">
        <f>+I269/-I$261</f>
        <v>1.2E-2</v>
      </c>
      <c r="J272" s="66">
        <f>+J269/-J$261</f>
        <v>1.2999999999999999E-2</v>
      </c>
      <c r="K272" s="177">
        <v>1.35E-2</v>
      </c>
      <c r="L272" s="177">
        <v>1.4E-2</v>
      </c>
      <c r="M272" s="177">
        <v>1.4500000000000001E-2</v>
      </c>
      <c r="N272" s="177">
        <v>1.5000000000000001E-2</v>
      </c>
      <c r="O272" s="177">
        <v>1.5500000000000002E-2</v>
      </c>
      <c r="Q272" s="441"/>
    </row>
    <row r="273" spans="1:17" ht="12.95" customHeight="1" x14ac:dyDescent="0.2">
      <c r="Q273" s="441"/>
    </row>
    <row r="274" spans="1:17" ht="12.95" customHeight="1" x14ac:dyDescent="0.2">
      <c r="Q274" s="441"/>
    </row>
    <row r="275" spans="1:17" ht="12.95" customHeight="1" x14ac:dyDescent="0.2">
      <c r="A275" s="1" t="s">
        <v>0</v>
      </c>
      <c r="B275" s="26" t="s">
        <v>120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30"/>
      <c r="Q275" s="441"/>
    </row>
    <row r="276" spans="1:17" ht="12.95" customHeight="1" x14ac:dyDescent="0.2">
      <c r="Q276" s="441"/>
    </row>
    <row r="277" spans="1:17" ht="12.95" customHeight="1" x14ac:dyDescent="0.35">
      <c r="H277" s="98" t="str">
        <f>+$K$250</f>
        <v>Fiscal Year Ended 12/31</v>
      </c>
      <c r="I277" s="108"/>
      <c r="J277" s="98"/>
      <c r="K277" s="31"/>
      <c r="L277" s="99"/>
      <c r="M277" s="99"/>
      <c r="N277" s="99"/>
      <c r="O277" s="99"/>
      <c r="Q277" s="441"/>
    </row>
    <row r="278" spans="1:17" ht="12.95" customHeight="1" x14ac:dyDescent="0.2">
      <c r="B278" s="81"/>
      <c r="C278" s="81"/>
      <c r="D278" s="81"/>
      <c r="E278" s="81"/>
      <c r="F278" s="81"/>
      <c r="G278" s="100"/>
      <c r="H278" s="32">
        <f>+$H$63</f>
        <v>2018</v>
      </c>
      <c r="I278" s="32">
        <f>+$I$63</f>
        <v>2019</v>
      </c>
      <c r="J278" s="33">
        <f>+$J$63</f>
        <v>2020</v>
      </c>
      <c r="K278" s="11">
        <f>+$K$63</f>
        <v>2021</v>
      </c>
      <c r="L278" s="11">
        <f>+$L$63</f>
        <v>2022</v>
      </c>
      <c r="M278" s="11">
        <f>+$M$63</f>
        <v>2023</v>
      </c>
      <c r="N278" s="11">
        <f>+$N$63</f>
        <v>2024</v>
      </c>
      <c r="O278" s="11">
        <f>+$O$63</f>
        <v>2025</v>
      </c>
      <c r="Q278" s="441"/>
    </row>
    <row r="279" spans="1:17" ht="12.95" customHeight="1" x14ac:dyDescent="0.2">
      <c r="B279" s="84" t="s">
        <v>123</v>
      </c>
      <c r="C279" s="84"/>
      <c r="D279" s="84"/>
      <c r="E279" s="84"/>
      <c r="F279" s="84"/>
      <c r="G279" s="101"/>
      <c r="H279" s="101"/>
      <c r="I279" s="101"/>
      <c r="J279" s="206"/>
      <c r="K279" s="178">
        <f>+J125</f>
        <v>155.84305619168975</v>
      </c>
      <c r="L279" s="178">
        <f ca="1">+K282</f>
        <v>166.95493687866619</v>
      </c>
      <c r="M279" s="178">
        <f ca="1">+L282</f>
        <v>178.90020861716587</v>
      </c>
      <c r="N279" s="178">
        <f ca="1">+M282</f>
        <v>191.77123891539929</v>
      </c>
      <c r="O279" s="178">
        <f ca="1">+N282</f>
        <v>205.67195163749136</v>
      </c>
      <c r="Q279" s="441"/>
    </row>
    <row r="280" spans="1:17" ht="12.95" customHeight="1" x14ac:dyDescent="0.2">
      <c r="B280" s="81" t="s">
        <v>170</v>
      </c>
      <c r="C280" s="81"/>
      <c r="D280" s="81"/>
      <c r="E280" s="81"/>
      <c r="F280" s="81"/>
      <c r="G280" s="103"/>
      <c r="H280" s="103"/>
      <c r="I280" s="103"/>
      <c r="J280" s="207"/>
      <c r="K280" s="210">
        <v>0</v>
      </c>
      <c r="L280" s="211">
        <v>0</v>
      </c>
      <c r="M280" s="211">
        <v>0</v>
      </c>
      <c r="N280" s="211">
        <v>0</v>
      </c>
      <c r="O280" s="211">
        <v>0</v>
      </c>
      <c r="Q280" s="441"/>
    </row>
    <row r="281" spans="1:17" ht="12.95" customHeight="1" x14ac:dyDescent="0.2">
      <c r="B281" s="89" t="s">
        <v>128</v>
      </c>
      <c r="C281" s="89"/>
      <c r="D281" s="89"/>
      <c r="E281" s="89"/>
      <c r="F281" s="89"/>
      <c r="G281" s="104"/>
      <c r="H281" s="182">
        <v>9.0919467450000013</v>
      </c>
      <c r="I281" s="182">
        <v>9.6829232834249996</v>
      </c>
      <c r="J281" s="208">
        <v>10.360727913264752</v>
      </c>
      <c r="K281" s="212">
        <f ca="1">+K283*K261</f>
        <v>11.111880686976447</v>
      </c>
      <c r="L281" s="212">
        <f ca="1">+L283*L261</f>
        <v>11.945271738499681</v>
      </c>
      <c r="M281" s="212">
        <f ca="1">+M283*M261</f>
        <v>12.871030298233407</v>
      </c>
      <c r="N281" s="212">
        <f ca="1">+N283*N261</f>
        <v>13.900712722092081</v>
      </c>
      <c r="O281" s="212">
        <f ca="1">+O283*O261</f>
        <v>15.047521521664677</v>
      </c>
      <c r="Q281" s="441"/>
    </row>
    <row r="282" spans="1:17" ht="12.95" customHeight="1" x14ac:dyDescent="0.2">
      <c r="B282" s="80" t="s">
        <v>10</v>
      </c>
      <c r="C282" s="81"/>
      <c r="D282" s="81"/>
      <c r="E282" s="81"/>
      <c r="F282" s="81"/>
      <c r="G282" s="103"/>
      <c r="H282" s="103"/>
      <c r="I282" s="103"/>
      <c r="J282" s="207"/>
      <c r="K282" s="204">
        <f ca="1">SUM(K279:K281)</f>
        <v>166.95493687866619</v>
      </c>
      <c r="L282" s="181">
        <f ca="1">SUM(L279:L281)</f>
        <v>178.90020861716587</v>
      </c>
      <c r="M282" s="181">
        <f ca="1">SUM(M279:M281)</f>
        <v>191.77123891539929</v>
      </c>
      <c r="N282" s="181">
        <f ca="1">SUM(N279:N281)</f>
        <v>205.67195163749136</v>
      </c>
      <c r="O282" s="181">
        <f ca="1">SUM(O279:O281)</f>
        <v>220.71947315915605</v>
      </c>
      <c r="Q282" s="441"/>
    </row>
    <row r="283" spans="1:17" ht="12.95" customHeight="1" x14ac:dyDescent="0.2">
      <c r="B283" s="89" t="s">
        <v>129</v>
      </c>
      <c r="C283" s="89"/>
      <c r="D283" s="89"/>
      <c r="E283" s="89"/>
      <c r="F283" s="89"/>
      <c r="G283" s="104"/>
      <c r="H283" s="176">
        <f>+H281/H261</f>
        <v>7.5144845255771982E-3</v>
      </c>
      <c r="I283" s="176">
        <f>+I281/I261</f>
        <v>7.5144845255771973E-3</v>
      </c>
      <c r="J283" s="209">
        <f>+J281/J261</f>
        <v>7.5144845255771982E-3</v>
      </c>
      <c r="K283" s="177">
        <f>+J283</f>
        <v>7.5144845255771982E-3</v>
      </c>
      <c r="L283" s="177">
        <f>+K283</f>
        <v>7.5144845255771982E-3</v>
      </c>
      <c r="M283" s="177">
        <f>+L283</f>
        <v>7.5144845255771982E-3</v>
      </c>
      <c r="N283" s="177">
        <f>+M283</f>
        <v>7.5144845255771982E-3</v>
      </c>
      <c r="O283" s="177">
        <f>+N283</f>
        <v>7.5144845255771982E-3</v>
      </c>
      <c r="Q283" s="441"/>
    </row>
    <row r="284" spans="1:17" ht="12.95" customHeight="1" x14ac:dyDescent="0.2">
      <c r="Q284" s="441"/>
    </row>
    <row r="285" spans="1:17" ht="12.95" customHeight="1" x14ac:dyDescent="0.2">
      <c r="A285" s="1" t="s">
        <v>0</v>
      </c>
      <c r="B285" s="26" t="s">
        <v>121</v>
      </c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30"/>
      <c r="Q285" s="441"/>
    </row>
    <row r="286" spans="1:17" ht="12.95" customHeight="1" x14ac:dyDescent="0.2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Q286" s="441"/>
    </row>
    <row r="287" spans="1:17" ht="12.95" customHeight="1" x14ac:dyDescent="0.35">
      <c r="B287" s="81"/>
      <c r="C287" s="81"/>
      <c r="D287" s="81"/>
      <c r="E287" s="81"/>
      <c r="F287" s="81"/>
      <c r="G287" s="97"/>
      <c r="H287" s="98" t="str">
        <f>+$K$250</f>
        <v>Fiscal Year Ended 12/31</v>
      </c>
      <c r="I287" s="108"/>
      <c r="J287" s="98"/>
      <c r="K287" s="31"/>
      <c r="L287" s="99"/>
      <c r="M287" s="99"/>
      <c r="N287" s="99"/>
      <c r="O287" s="99"/>
      <c r="Q287" s="441"/>
    </row>
    <row r="288" spans="1:17" ht="12.95" customHeight="1" x14ac:dyDescent="0.2">
      <c r="B288" s="81"/>
      <c r="C288" s="81"/>
      <c r="D288" s="81"/>
      <c r="E288" s="81"/>
      <c r="F288" s="81"/>
      <c r="G288" s="100"/>
      <c r="H288" s="32">
        <f>+$H$63</f>
        <v>2018</v>
      </c>
      <c r="I288" s="32">
        <f>+$I$63</f>
        <v>2019</v>
      </c>
      <c r="J288" s="33">
        <f>+$J$63</f>
        <v>2020</v>
      </c>
      <c r="K288" s="11">
        <f>+$K$63</f>
        <v>2021</v>
      </c>
      <c r="L288" s="11">
        <f>+$L$63</f>
        <v>2022</v>
      </c>
      <c r="M288" s="11">
        <f>+$M$63</f>
        <v>2023</v>
      </c>
      <c r="N288" s="11">
        <f>+$N$63</f>
        <v>2024</v>
      </c>
      <c r="O288" s="11">
        <f>+$O$63</f>
        <v>2025</v>
      </c>
      <c r="Q288" s="441"/>
    </row>
    <row r="289" spans="1:17" ht="12.95" customHeight="1" x14ac:dyDescent="0.2">
      <c r="B289" s="84" t="s">
        <v>123</v>
      </c>
      <c r="C289" s="84"/>
      <c r="D289" s="84"/>
      <c r="E289" s="84"/>
      <c r="F289" s="84"/>
      <c r="G289" s="101"/>
      <c r="H289" s="101"/>
      <c r="I289" s="101"/>
      <c r="J289" s="206"/>
      <c r="K289" s="178">
        <f>+J126</f>
        <v>-25</v>
      </c>
      <c r="L289" s="178">
        <f>+K291</f>
        <v>-30</v>
      </c>
      <c r="M289" s="178">
        <f>+L291</f>
        <v>-35</v>
      </c>
      <c r="N289" s="178">
        <f>+M291</f>
        <v>-40</v>
      </c>
      <c r="O289" s="178">
        <f>+N291</f>
        <v>-45</v>
      </c>
      <c r="Q289" s="441"/>
    </row>
    <row r="290" spans="1:17" ht="12.95" customHeight="1" x14ac:dyDescent="0.2">
      <c r="B290" s="81" t="s">
        <v>116</v>
      </c>
      <c r="C290" s="81"/>
      <c r="D290" s="81"/>
      <c r="E290" s="81"/>
      <c r="F290" s="81"/>
      <c r="G290" s="103"/>
      <c r="H290" s="51">
        <v>-5</v>
      </c>
      <c r="I290" s="51">
        <v>-5</v>
      </c>
      <c r="J290" s="52">
        <v>-5</v>
      </c>
      <c r="K290" s="226">
        <v>-5</v>
      </c>
      <c r="L290" s="226">
        <v>-5</v>
      </c>
      <c r="M290" s="226">
        <v>-5</v>
      </c>
      <c r="N290" s="226">
        <v>-5</v>
      </c>
      <c r="O290" s="226">
        <v>-5</v>
      </c>
      <c r="Q290" s="441"/>
    </row>
    <row r="291" spans="1:17" ht="12.95" customHeight="1" x14ac:dyDescent="0.2">
      <c r="B291" s="105" t="s">
        <v>10</v>
      </c>
      <c r="C291" s="106"/>
      <c r="D291" s="106"/>
      <c r="E291" s="106"/>
      <c r="F291" s="106"/>
      <c r="G291" s="107"/>
      <c r="H291" s="107"/>
      <c r="I291" s="107"/>
      <c r="J291" s="214"/>
      <c r="K291" s="261">
        <f>SUM(K289:K290)</f>
        <v>-30</v>
      </c>
      <c r="L291" s="261">
        <f>SUM(L289:L290)</f>
        <v>-35</v>
      </c>
      <c r="M291" s="261">
        <f>SUM(M289:M290)</f>
        <v>-40</v>
      </c>
      <c r="N291" s="261">
        <f>SUM(N289:N290)</f>
        <v>-45</v>
      </c>
      <c r="O291" s="261">
        <f>SUM(O289:O290)</f>
        <v>-50</v>
      </c>
      <c r="Q291" s="441"/>
    </row>
    <row r="292" spans="1:17" ht="12.95" customHeight="1" x14ac:dyDescent="0.2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Q292" s="441"/>
    </row>
    <row r="293" spans="1:17" ht="12.95" customHeight="1" x14ac:dyDescent="0.2">
      <c r="A293" s="1" t="s">
        <v>0</v>
      </c>
      <c r="B293" s="26" t="s">
        <v>122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30"/>
      <c r="Q293" s="441"/>
    </row>
    <row r="294" spans="1:17" ht="12.95" customHeight="1" x14ac:dyDescent="0.2">
      <c r="Q294" s="441"/>
    </row>
    <row r="295" spans="1:17" ht="12.95" customHeight="1" x14ac:dyDescent="0.35">
      <c r="B295" s="81"/>
      <c r="C295" s="81"/>
      <c r="D295" s="81"/>
      <c r="E295" s="81"/>
      <c r="F295" s="81"/>
      <c r="G295" s="97"/>
      <c r="H295" s="98" t="str">
        <f>+$K$250</f>
        <v>Fiscal Year Ended 12/31</v>
      </c>
      <c r="I295" s="108"/>
      <c r="J295" s="98"/>
      <c r="K295" s="31"/>
      <c r="L295" s="99"/>
      <c r="M295" s="99"/>
      <c r="N295" s="99"/>
      <c r="O295" s="99"/>
      <c r="Q295" s="441"/>
    </row>
    <row r="296" spans="1:17" ht="12.95" customHeight="1" x14ac:dyDescent="0.2">
      <c r="B296" s="81"/>
      <c r="C296" s="81"/>
      <c r="D296" s="81"/>
      <c r="E296" s="81"/>
      <c r="F296" s="81"/>
      <c r="G296" s="100"/>
      <c r="H296" s="32">
        <f>+$H$63</f>
        <v>2018</v>
      </c>
      <c r="I296" s="32">
        <f>+$I$63</f>
        <v>2019</v>
      </c>
      <c r="J296" s="33">
        <f>+$J$63</f>
        <v>2020</v>
      </c>
      <c r="K296" s="11">
        <f>+$K$63</f>
        <v>2021</v>
      </c>
      <c r="L296" s="11">
        <f>+$L$63</f>
        <v>2022</v>
      </c>
      <c r="M296" s="11">
        <f>+$M$63</f>
        <v>2023</v>
      </c>
      <c r="N296" s="11">
        <f>+$N$63</f>
        <v>2024</v>
      </c>
      <c r="O296" s="11">
        <f>+$O$63</f>
        <v>2025</v>
      </c>
      <c r="Q296" s="441"/>
    </row>
    <row r="297" spans="1:17" ht="12.95" customHeight="1" x14ac:dyDescent="0.2">
      <c r="B297" s="84" t="s">
        <v>123</v>
      </c>
      <c r="C297" s="84"/>
      <c r="D297" s="84"/>
      <c r="E297" s="84"/>
      <c r="F297" s="84"/>
      <c r="G297" s="101"/>
      <c r="H297" s="227"/>
      <c r="I297" s="227"/>
      <c r="J297" s="228"/>
      <c r="K297" s="178">
        <f>+J127</f>
        <v>694.19401298496064</v>
      </c>
      <c r="L297" s="178">
        <f ca="1">+K300</f>
        <v>875.83101021179982</v>
      </c>
      <c r="M297" s="178">
        <f ca="1">+L300</f>
        <v>1076.0107348715044</v>
      </c>
      <c r="N297" s="178">
        <f ca="1">+M300</f>
        <v>1296.9520286760721</v>
      </c>
      <c r="O297" s="178">
        <f ca="1">+N300</f>
        <v>1541.1768906483151</v>
      </c>
      <c r="Q297" s="441"/>
    </row>
    <row r="298" spans="1:17" ht="12.95" customHeight="1" x14ac:dyDescent="0.2">
      <c r="B298" s="81" t="s">
        <v>130</v>
      </c>
      <c r="C298" s="81"/>
      <c r="D298" s="81"/>
      <c r="E298" s="81"/>
      <c r="F298" s="81"/>
      <c r="G298" s="103"/>
      <c r="H298" s="135">
        <f t="shared" ref="H298:O298" si="47">+H73</f>
        <v>144.38336269074406</v>
      </c>
      <c r="I298" s="135">
        <f t="shared" si="47"/>
        <v>158.09058392211767</v>
      </c>
      <c r="J298" s="229">
        <f t="shared" si="47"/>
        <v>173.73619092811771</v>
      </c>
      <c r="K298" s="179">
        <f t="shared" ca="1" si="47"/>
        <v>191.19683918614641</v>
      </c>
      <c r="L298" s="179">
        <f t="shared" ca="1" si="47"/>
        <v>210.71549964179448</v>
      </c>
      <c r="M298" s="179">
        <f t="shared" ca="1" si="47"/>
        <v>232.56978295217664</v>
      </c>
      <c r="N298" s="179">
        <f t="shared" ca="1" si="47"/>
        <v>257.07880207604501</v>
      </c>
      <c r="O298" s="179">
        <f t="shared" ca="1" si="47"/>
        <v>284.60992644787052</v>
      </c>
      <c r="Q298" s="441"/>
    </row>
    <row r="299" spans="1:17" ht="12.95" customHeight="1" x14ac:dyDescent="0.2">
      <c r="B299" s="89" t="s">
        <v>117</v>
      </c>
      <c r="C299" s="89"/>
      <c r="D299" s="89"/>
      <c r="E299" s="89"/>
      <c r="F299" s="89"/>
      <c r="G299" s="104"/>
      <c r="H299" s="138">
        <v>-7.2191681345372034</v>
      </c>
      <c r="I299" s="138">
        <v>-7.9045291961058837</v>
      </c>
      <c r="J299" s="139">
        <v>-8.6868095464058861</v>
      </c>
      <c r="K299" s="194">
        <f ca="1">-K301*K298</f>
        <v>-9.5598419593073203</v>
      </c>
      <c r="L299" s="194">
        <f ca="1">-L301*L298</f>
        <v>-10.535774982089725</v>
      </c>
      <c r="M299" s="194">
        <f ca="1">-M301*M298</f>
        <v>-11.628489147608832</v>
      </c>
      <c r="N299" s="194">
        <f ca="1">-N301*N298</f>
        <v>-12.853940103802252</v>
      </c>
      <c r="O299" s="194">
        <f ca="1">-O301*O298</f>
        <v>-14.230496322393527</v>
      </c>
      <c r="Q299" s="441"/>
    </row>
    <row r="300" spans="1:17" ht="12.95" customHeight="1" x14ac:dyDescent="0.2">
      <c r="B300" s="80" t="s">
        <v>10</v>
      </c>
      <c r="C300" s="81"/>
      <c r="D300" s="81"/>
      <c r="E300" s="81"/>
      <c r="F300" s="81"/>
      <c r="G300" s="103"/>
      <c r="H300" s="230"/>
      <c r="I300" s="230"/>
      <c r="J300" s="231"/>
      <c r="K300" s="181">
        <f ca="1">SUM(K297:K299)</f>
        <v>875.83101021179982</v>
      </c>
      <c r="L300" s="181">
        <f ca="1">SUM(L297:L299)</f>
        <v>1076.0107348715044</v>
      </c>
      <c r="M300" s="181">
        <f ca="1">SUM(M297:M299)</f>
        <v>1296.9520286760721</v>
      </c>
      <c r="N300" s="181">
        <f ca="1">SUM(N297:N299)</f>
        <v>1541.1768906483151</v>
      </c>
      <c r="O300" s="181">
        <f ca="1">SUM(O297:O299)</f>
        <v>1811.5563207737921</v>
      </c>
      <c r="Q300" s="441"/>
    </row>
    <row r="301" spans="1:17" ht="12.95" customHeight="1" x14ac:dyDescent="0.2">
      <c r="B301" s="89" t="s">
        <v>131</v>
      </c>
      <c r="C301" s="89"/>
      <c r="D301" s="89"/>
      <c r="E301" s="89"/>
      <c r="F301" s="89"/>
      <c r="G301" s="104"/>
      <c r="H301" s="232">
        <f>-H299/H298</f>
        <v>0.05</v>
      </c>
      <c r="I301" s="232">
        <f>-I299/I298</f>
        <v>0.05</v>
      </c>
      <c r="J301" s="233">
        <f>-J299/J298</f>
        <v>0.05</v>
      </c>
      <c r="K301" s="177">
        <v>0.05</v>
      </c>
      <c r="L301" s="177">
        <v>0.05</v>
      </c>
      <c r="M301" s="177">
        <v>0.05</v>
      </c>
      <c r="N301" s="177">
        <v>0.05</v>
      </c>
      <c r="O301" s="177">
        <v>0.05</v>
      </c>
      <c r="Q301" s="441"/>
    </row>
    <row r="302" spans="1:17" ht="12.95" customHeight="1" x14ac:dyDescent="0.2">
      <c r="Q302" s="441"/>
    </row>
    <row r="303" spans="1:17" ht="12.95" customHeight="1" x14ac:dyDescent="0.2">
      <c r="A303" s="1" t="s">
        <v>0</v>
      </c>
      <c r="B303" s="26" t="s">
        <v>139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30"/>
    </row>
    <row r="305" spans="2:23" ht="12.95" customHeight="1" x14ac:dyDescent="0.35">
      <c r="H305" s="98" t="str">
        <f>+$K$250</f>
        <v>Fiscal Year Ended 12/31</v>
      </c>
      <c r="I305" s="108"/>
      <c r="J305" s="98"/>
      <c r="K305" s="31"/>
      <c r="L305" s="99"/>
      <c r="M305" s="99"/>
      <c r="N305" s="99"/>
      <c r="O305" s="99"/>
    </row>
    <row r="306" spans="2:23" ht="12.95" customHeight="1" x14ac:dyDescent="0.2">
      <c r="H306" s="32">
        <f>+$H$63</f>
        <v>2018</v>
      </c>
      <c r="I306" s="32">
        <f>+$I$63</f>
        <v>2019</v>
      </c>
      <c r="J306" s="33">
        <f>+$J$63</f>
        <v>2020</v>
      </c>
      <c r="K306" s="11">
        <f>+$K$63</f>
        <v>2021</v>
      </c>
      <c r="L306" s="11">
        <f>+$L$63</f>
        <v>2022</v>
      </c>
      <c r="M306" s="11">
        <f>+$M$63</f>
        <v>2023</v>
      </c>
      <c r="N306" s="11">
        <f>+$N$63</f>
        <v>2024</v>
      </c>
      <c r="O306" s="11">
        <f>+$O$63</f>
        <v>2025</v>
      </c>
    </row>
    <row r="307" spans="2:23" ht="12.95" customHeight="1" x14ac:dyDescent="0.2">
      <c r="B307" s="1" t="s">
        <v>39</v>
      </c>
      <c r="H307" s="17">
        <f t="shared" ref="H307:O307" si="48">+H73</f>
        <v>144.38336269074406</v>
      </c>
      <c r="I307" s="17">
        <f t="shared" si="48"/>
        <v>158.09058392211767</v>
      </c>
      <c r="J307" s="213">
        <f t="shared" si="48"/>
        <v>173.73619092811771</v>
      </c>
      <c r="K307" s="17">
        <f t="shared" ca="1" si="48"/>
        <v>191.19683918614641</v>
      </c>
      <c r="L307" s="17">
        <f t="shared" ca="1" si="48"/>
        <v>210.71549964179448</v>
      </c>
      <c r="M307" s="17">
        <f t="shared" ca="1" si="48"/>
        <v>232.56978295217664</v>
      </c>
      <c r="N307" s="17">
        <f t="shared" ca="1" si="48"/>
        <v>257.07880207604501</v>
      </c>
      <c r="O307" s="17">
        <f t="shared" ca="1" si="48"/>
        <v>284.60992644787052</v>
      </c>
    </row>
    <row r="308" spans="2:23" ht="12.95" customHeight="1" x14ac:dyDescent="0.25">
      <c r="J308" s="192"/>
      <c r="Q308"/>
      <c r="R308"/>
      <c r="S308"/>
      <c r="T308"/>
    </row>
    <row r="309" spans="2:23" ht="12.95" customHeight="1" x14ac:dyDescent="0.25">
      <c r="B309" s="255" t="s">
        <v>158</v>
      </c>
      <c r="J309" s="192"/>
      <c r="Q309"/>
      <c r="R309"/>
      <c r="S309"/>
      <c r="T309"/>
    </row>
    <row r="310" spans="2:23" ht="12.95" customHeight="1" x14ac:dyDescent="0.25">
      <c r="B310" s="1" t="s">
        <v>140</v>
      </c>
      <c r="H310" s="135">
        <f>+H75</f>
        <v>100.91013022450269</v>
      </c>
      <c r="I310" s="135">
        <f>+I75</f>
        <v>101.22532805211092</v>
      </c>
      <c r="J310" s="236">
        <f>+J75</f>
        <v>101.5551580431645</v>
      </c>
      <c r="K310" s="23">
        <f ca="1">+K329</f>
        <v>101.89686926219814</v>
      </c>
      <c r="L310" s="23">
        <f ca="1">+L329</f>
        <v>102.25037131335471</v>
      </c>
      <c r="M310" s="23">
        <f ca="1">+M329</f>
        <v>102.61458004154703</v>
      </c>
      <c r="N310" s="23">
        <f ca="1">+N329</f>
        <v>102.9884647971969</v>
      </c>
      <c r="O310" s="23">
        <f ca="1">+O329</f>
        <v>103.37104759455143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141</v>
      </c>
      <c r="C311" s="93"/>
      <c r="D311" s="93"/>
      <c r="E311" s="93"/>
      <c r="F311" s="93"/>
      <c r="G311" s="93"/>
      <c r="H311" s="136">
        <f>+H312-H310</f>
        <v>5</v>
      </c>
      <c r="I311" s="136">
        <f>+I312-I310</f>
        <v>5</v>
      </c>
      <c r="J311" s="237">
        <f>+J312-J310</f>
        <v>5</v>
      </c>
      <c r="K311" s="111">
        <f>+J311</f>
        <v>5</v>
      </c>
      <c r="L311" s="111">
        <f>+K311</f>
        <v>5</v>
      </c>
      <c r="M311" s="111">
        <f>+L311</f>
        <v>5</v>
      </c>
      <c r="N311" s="111">
        <f>+M311</f>
        <v>5</v>
      </c>
      <c r="O311" s="111">
        <f>+N311</f>
        <v>5</v>
      </c>
      <c r="Q311"/>
      <c r="R311"/>
      <c r="S311"/>
      <c r="T311"/>
      <c r="U311" s="23"/>
      <c r="V311" s="23"/>
      <c r="W311"/>
    </row>
    <row r="312" spans="2:23" ht="12.95" customHeight="1" x14ac:dyDescent="0.25">
      <c r="B312" s="183" t="s">
        <v>107</v>
      </c>
      <c r="C312" s="183"/>
      <c r="D312" s="183"/>
      <c r="E312" s="183"/>
      <c r="F312" s="183"/>
      <c r="G312" s="183"/>
      <c r="H312" s="238">
        <f>+H78</f>
        <v>105.91013022450269</v>
      </c>
      <c r="I312" s="238">
        <f>+I78</f>
        <v>106.22532805211092</v>
      </c>
      <c r="J312" s="239">
        <f>+J78</f>
        <v>106.5551580431645</v>
      </c>
      <c r="K312" s="187">
        <f ca="1">SUM(K310:K311)</f>
        <v>106.89686926219814</v>
      </c>
      <c r="L312" s="187">
        <f ca="1">SUM(L310:L311)</f>
        <v>107.25037131335471</v>
      </c>
      <c r="M312" s="187">
        <f ca="1">SUM(M310:M311)</f>
        <v>107.61458004154703</v>
      </c>
      <c r="N312" s="187">
        <f ca="1">SUM(N310:N311)</f>
        <v>107.9884647971969</v>
      </c>
      <c r="O312" s="187">
        <f ca="1">SUM(O310:O311)</f>
        <v>108.37104759455143</v>
      </c>
      <c r="Q312"/>
      <c r="R312"/>
      <c r="S312"/>
      <c r="T312"/>
      <c r="U312" s="23"/>
      <c r="V312" s="23"/>
      <c r="W312"/>
    </row>
    <row r="313" spans="2:23" ht="12.95" customHeight="1" x14ac:dyDescent="0.25">
      <c r="B313" s="92"/>
      <c r="C313" s="92"/>
      <c r="D313" s="92"/>
      <c r="E313" s="92"/>
      <c r="F313" s="92"/>
      <c r="G313" s="92"/>
      <c r="H313" s="240"/>
      <c r="I313" s="240"/>
      <c r="J313" s="241"/>
      <c r="K313" s="92"/>
      <c r="L313" s="92"/>
      <c r="M313" s="92"/>
      <c r="N313" s="92"/>
      <c r="O313" s="92"/>
      <c r="Q313"/>
      <c r="R313"/>
      <c r="S313"/>
      <c r="T313"/>
      <c r="U313" s="23"/>
      <c r="V313" s="23"/>
      <c r="W313"/>
    </row>
    <row r="314" spans="2:23" ht="12.95" customHeight="1" x14ac:dyDescent="0.25">
      <c r="B314" s="93" t="s">
        <v>143</v>
      </c>
      <c r="C314" s="93"/>
      <c r="D314" s="93"/>
      <c r="E314" s="93"/>
      <c r="F314" s="93"/>
      <c r="G314" s="93"/>
      <c r="H314" s="136"/>
      <c r="I314" s="136"/>
      <c r="J314" s="237"/>
      <c r="K314" s="300">
        <f ca="1">+K281+K280</f>
        <v>11.111880686976447</v>
      </c>
      <c r="L314" s="300">
        <f ca="1">+L281+L280</f>
        <v>11.945271738499681</v>
      </c>
      <c r="M314" s="300">
        <f ca="1">+M281+M280</f>
        <v>12.871030298233407</v>
      </c>
      <c r="N314" s="300">
        <f ca="1">+N281+N280</f>
        <v>13.900712722092081</v>
      </c>
      <c r="O314" s="300">
        <f ca="1">+O281+O280</f>
        <v>15.047521521664677</v>
      </c>
      <c r="Q314" s="81" t="s">
        <v>417</v>
      </c>
      <c r="R314"/>
      <c r="S314"/>
      <c r="T314"/>
      <c r="U314" s="23"/>
      <c r="V314" s="23"/>
      <c r="W314"/>
    </row>
    <row r="315" spans="2:23" ht="12.95" customHeight="1" x14ac:dyDescent="0.25">
      <c r="B315" s="93" t="s">
        <v>142</v>
      </c>
      <c r="C315" s="93"/>
      <c r="D315" s="93"/>
      <c r="E315" s="93"/>
      <c r="F315" s="93"/>
      <c r="G315" s="93"/>
      <c r="H315" s="136"/>
      <c r="I315" s="136"/>
      <c r="J315" s="237"/>
      <c r="K315" s="300">
        <f>+K290</f>
        <v>-5</v>
      </c>
      <c r="L315" s="300">
        <f>+L290</f>
        <v>-5</v>
      </c>
      <c r="M315" s="300">
        <f>+M290</f>
        <v>-5</v>
      </c>
      <c r="N315" s="300">
        <f>+N290</f>
        <v>-5</v>
      </c>
      <c r="O315" s="300">
        <f>+O290</f>
        <v>-5</v>
      </c>
      <c r="Q315" s="81" t="s">
        <v>404</v>
      </c>
      <c r="R315"/>
      <c r="S315"/>
      <c r="T315"/>
      <c r="U315" s="23"/>
      <c r="V315" s="23"/>
      <c r="W315"/>
    </row>
    <row r="316" spans="2:23" ht="12.95" customHeight="1" x14ac:dyDescent="0.25">
      <c r="B316" s="183" t="s">
        <v>144</v>
      </c>
      <c r="C316" s="183"/>
      <c r="D316" s="183"/>
      <c r="E316" s="183"/>
      <c r="F316" s="183"/>
      <c r="G316" s="183"/>
      <c r="H316" s="149"/>
      <c r="I316" s="149"/>
      <c r="J316" s="242"/>
      <c r="K316" s="184">
        <f ca="1">SUM(K314:K315)</f>
        <v>6.1118806869764466</v>
      </c>
      <c r="L316" s="184">
        <f ca="1">SUM(L314:L315)</f>
        <v>6.9452717384996809</v>
      </c>
      <c r="M316" s="184">
        <f ca="1">SUM(M314:M315)</f>
        <v>7.8710302982334071</v>
      </c>
      <c r="N316" s="184">
        <f ca="1">SUM(N314:N315)</f>
        <v>8.9007127220920808</v>
      </c>
      <c r="O316" s="184">
        <f ca="1">SUM(O314:O315)</f>
        <v>10.047521521664677</v>
      </c>
      <c r="Q316"/>
      <c r="R316"/>
      <c r="S316"/>
      <c r="T316"/>
      <c r="U316" s="23"/>
      <c r="V316" s="23"/>
      <c r="W316"/>
    </row>
    <row r="317" spans="2:23" ht="12.95" customHeight="1" x14ac:dyDescent="0.25">
      <c r="B317" s="92"/>
      <c r="C317" s="92"/>
      <c r="D317" s="92"/>
      <c r="E317" s="92"/>
      <c r="F317" s="92"/>
      <c r="G317" s="92"/>
      <c r="H317" s="240"/>
      <c r="I317" s="240"/>
      <c r="J317" s="241"/>
      <c r="K317" s="92"/>
      <c r="L317" s="92"/>
      <c r="M317" s="92"/>
      <c r="N317" s="92"/>
      <c r="O317" s="92"/>
      <c r="Q317"/>
      <c r="R317"/>
      <c r="S317"/>
      <c r="T317"/>
      <c r="U317" s="23"/>
      <c r="V317" s="23"/>
      <c r="W317"/>
    </row>
    <row r="318" spans="2:23" ht="12.95" customHeight="1" x14ac:dyDescent="0.25">
      <c r="B318" s="93" t="s">
        <v>145</v>
      </c>
      <c r="C318" s="93"/>
      <c r="D318" s="93"/>
      <c r="E318" s="93"/>
      <c r="F318" s="93"/>
      <c r="G318" s="93"/>
      <c r="H318" s="136"/>
      <c r="I318" s="136"/>
      <c r="J318" s="237"/>
      <c r="K318" s="111">
        <f t="shared" ref="K318:O319" ca="1" si="49">+K314/K$324</f>
        <v>0.62125792203275587</v>
      </c>
      <c r="L318" s="111">
        <f t="shared" ca="1" si="49"/>
        <v>0.60799321036996257</v>
      </c>
      <c r="M318" s="111">
        <f t="shared" ca="1" si="49"/>
        <v>0.59556899132970686</v>
      </c>
      <c r="N318" s="111">
        <f t="shared" ca="1" si="49"/>
        <v>0.58391555167920139</v>
      </c>
      <c r="O318" s="111">
        <f t="shared" ca="1" si="49"/>
        <v>0.57296944968943608</v>
      </c>
      <c r="Q318"/>
      <c r="R318"/>
      <c r="S318"/>
      <c r="T318"/>
      <c r="U318" s="23"/>
      <c r="V318" s="23"/>
      <c r="W318"/>
    </row>
    <row r="319" spans="2:23" ht="12.95" customHeight="1" x14ac:dyDescent="0.25">
      <c r="B319" s="93" t="s">
        <v>146</v>
      </c>
      <c r="C319" s="93"/>
      <c r="D319" s="93"/>
      <c r="E319" s="93"/>
      <c r="F319" s="93"/>
      <c r="G319" s="93"/>
      <c r="H319" s="136"/>
      <c r="I319" s="136"/>
      <c r="J319" s="237"/>
      <c r="K319" s="111">
        <f t="shared" si="49"/>
        <v>-0.27954670299911255</v>
      </c>
      <c r="L319" s="111">
        <f t="shared" si="49"/>
        <v>-0.25449115921339688</v>
      </c>
      <c r="M319" s="111">
        <f t="shared" si="49"/>
        <v>-0.23136026313738486</v>
      </c>
      <c r="N319" s="111">
        <f t="shared" si="49"/>
        <v>-0.210030796029328</v>
      </c>
      <c r="O319" s="111">
        <f t="shared" si="49"/>
        <v>-0.19038665233490545</v>
      </c>
      <c r="Q319"/>
      <c r="R319"/>
      <c r="S319"/>
      <c r="T319"/>
      <c r="U319" s="23"/>
      <c r="V319" s="23"/>
      <c r="W319"/>
    </row>
    <row r="320" spans="2:23" ht="12.95" customHeight="1" x14ac:dyDescent="0.25">
      <c r="B320" s="183" t="s">
        <v>144</v>
      </c>
      <c r="C320" s="183"/>
      <c r="D320" s="183"/>
      <c r="E320" s="183"/>
      <c r="F320" s="183"/>
      <c r="G320" s="183"/>
      <c r="H320" s="238"/>
      <c r="I320" s="238"/>
      <c r="J320" s="239"/>
      <c r="K320" s="187">
        <f ca="1">SUM(K318:K319)</f>
        <v>0.34171121903364332</v>
      </c>
      <c r="L320" s="187">
        <f ca="1">SUM(L318:L319)</f>
        <v>0.35350205115656569</v>
      </c>
      <c r="M320" s="187">
        <f ca="1">SUM(M318:M319)</f>
        <v>0.36420872819232197</v>
      </c>
      <c r="N320" s="187">
        <f ca="1">SUM(N318:N319)</f>
        <v>0.37388475564987339</v>
      </c>
      <c r="O320" s="187">
        <f ca="1">SUM(O318:O319)</f>
        <v>0.3825827973545306</v>
      </c>
      <c r="Q320"/>
      <c r="R320"/>
      <c r="S320"/>
      <c r="T320"/>
      <c r="U320" s="23"/>
      <c r="V320" s="23"/>
      <c r="W320"/>
    </row>
    <row r="321" spans="2:23" ht="12.95" customHeight="1" x14ac:dyDescent="0.25">
      <c r="B321" s="92"/>
      <c r="C321" s="92"/>
      <c r="D321" s="92"/>
      <c r="E321" s="92"/>
      <c r="F321" s="92"/>
      <c r="G321" s="92"/>
      <c r="H321" s="240"/>
      <c r="I321" s="240"/>
      <c r="J321" s="241"/>
      <c r="K321" s="92"/>
      <c r="L321" s="92"/>
      <c r="M321" s="92"/>
      <c r="N321" s="92"/>
      <c r="O321" s="92"/>
      <c r="Q321"/>
      <c r="R321"/>
      <c r="S321"/>
      <c r="T321"/>
      <c r="U321" s="23"/>
      <c r="V321" s="23"/>
      <c r="W321"/>
    </row>
    <row r="322" spans="2:23" ht="12.95" customHeight="1" x14ac:dyDescent="0.25">
      <c r="B322" s="93" t="s">
        <v>108</v>
      </c>
      <c r="C322" s="93"/>
      <c r="D322" s="93"/>
      <c r="E322" s="93"/>
      <c r="F322" s="93"/>
      <c r="G322" s="93"/>
      <c r="H322" s="243"/>
      <c r="I322" s="243"/>
      <c r="J322" s="244"/>
      <c r="K322" s="252">
        <v>1.7886098982236514</v>
      </c>
      <c r="L322" s="252">
        <v>1.9647047918892071</v>
      </c>
      <c r="M322" s="252">
        <v>2.1611317052448769</v>
      </c>
      <c r="N322" s="252">
        <v>2.3806032708183502</v>
      </c>
      <c r="O322" s="252">
        <v>2.6262345278305528</v>
      </c>
      <c r="Q322"/>
      <c r="R322"/>
      <c r="S322"/>
      <c r="T322"/>
      <c r="U322" s="23"/>
      <c r="V322" s="23"/>
      <c r="W322"/>
    </row>
    <row r="323" spans="2:23" ht="12.95" customHeight="1" x14ac:dyDescent="0.25">
      <c r="B323" s="93" t="s">
        <v>147</v>
      </c>
      <c r="C323" s="93"/>
      <c r="D323" s="93"/>
      <c r="E323" s="93"/>
      <c r="F323" s="93"/>
      <c r="G323" s="93"/>
      <c r="H323" s="245"/>
      <c r="I323" s="245"/>
      <c r="J323" s="246"/>
      <c r="K323" s="112">
        <v>10</v>
      </c>
      <c r="L323" s="185">
        <f>+K323</f>
        <v>10</v>
      </c>
      <c r="M323" s="185">
        <f>+L323</f>
        <v>10</v>
      </c>
      <c r="N323" s="185">
        <f>+M323</f>
        <v>10</v>
      </c>
      <c r="O323" s="185">
        <f>+N323</f>
        <v>10</v>
      </c>
      <c r="Q323"/>
      <c r="R323"/>
      <c r="S323"/>
      <c r="T323"/>
      <c r="U323" s="23"/>
      <c r="V323" s="23"/>
      <c r="W323"/>
    </row>
    <row r="324" spans="2:23" s="21" customFormat="1" ht="12.95" customHeight="1" x14ac:dyDescent="0.25">
      <c r="B324" s="183" t="s">
        <v>148</v>
      </c>
      <c r="C324" s="183"/>
      <c r="D324" s="183"/>
      <c r="E324" s="183"/>
      <c r="F324" s="183"/>
      <c r="G324" s="183"/>
      <c r="H324" s="247"/>
      <c r="I324" s="247"/>
      <c r="J324" s="248"/>
      <c r="K324" s="186">
        <f>+K322*K323</f>
        <v>17.886098982236515</v>
      </c>
      <c r="L324" s="186">
        <f>+L322*L323</f>
        <v>19.647047918892071</v>
      </c>
      <c r="M324" s="186">
        <f>+M322*M323</f>
        <v>21.611317052448769</v>
      </c>
      <c r="N324" s="186">
        <f>+N322*N323</f>
        <v>23.806032708183501</v>
      </c>
      <c r="O324" s="186">
        <f>+O322*O323</f>
        <v>26.262345278305528</v>
      </c>
      <c r="Q324"/>
      <c r="R324"/>
      <c r="S324"/>
      <c r="T324"/>
      <c r="U324" s="23"/>
      <c r="V324" s="23"/>
      <c r="W324"/>
    </row>
    <row r="325" spans="2:23" s="21" customFormat="1" ht="12.95" customHeight="1" x14ac:dyDescent="0.25">
      <c r="B325" s="92"/>
      <c r="C325" s="92"/>
      <c r="D325" s="92"/>
      <c r="E325" s="92"/>
      <c r="F325" s="92"/>
      <c r="G325" s="92"/>
      <c r="H325" s="249"/>
      <c r="I325" s="249"/>
      <c r="J325" s="250"/>
      <c r="K325" s="188"/>
      <c r="L325" s="188"/>
      <c r="M325" s="188"/>
      <c r="N325" s="188"/>
      <c r="O325" s="188"/>
      <c r="Q325"/>
      <c r="R325"/>
      <c r="S325"/>
      <c r="T325"/>
      <c r="U325" s="23"/>
      <c r="V325" s="23"/>
      <c r="W325"/>
    </row>
    <row r="326" spans="2:23" s="21" customFormat="1" ht="12.95" customHeight="1" x14ac:dyDescent="0.25">
      <c r="B326" s="254" t="s">
        <v>157</v>
      </c>
      <c r="C326" s="92"/>
      <c r="D326" s="92"/>
      <c r="E326" s="92"/>
      <c r="F326" s="92"/>
      <c r="G326" s="92"/>
      <c r="H326" s="249"/>
      <c r="I326" s="249"/>
      <c r="J326" s="250"/>
      <c r="K326" s="188"/>
      <c r="L326" s="188"/>
      <c r="M326" s="188"/>
      <c r="N326" s="188"/>
      <c r="O326" s="188"/>
      <c r="Q326"/>
      <c r="R326"/>
      <c r="S326"/>
      <c r="T326"/>
      <c r="U326" s="23"/>
      <c r="V326" s="23"/>
      <c r="W326"/>
    </row>
    <row r="327" spans="2:23" s="21" customFormat="1" ht="12.95" customHeight="1" x14ac:dyDescent="0.25">
      <c r="B327" s="93" t="s">
        <v>149</v>
      </c>
      <c r="C327" s="92"/>
      <c r="D327" s="92"/>
      <c r="E327" s="92"/>
      <c r="F327" s="92"/>
      <c r="G327" s="92"/>
      <c r="H327" s="226"/>
      <c r="I327" s="136"/>
      <c r="J327" s="237"/>
      <c r="K327" s="111">
        <f>+J310</f>
        <v>101.5551580431645</v>
      </c>
      <c r="L327" s="111">
        <f ca="1">+K329</f>
        <v>101.89686926219814</v>
      </c>
      <c r="M327" s="111">
        <f ca="1">+L329</f>
        <v>102.25037131335471</v>
      </c>
      <c r="N327" s="111">
        <f ca="1">+M329</f>
        <v>102.61458004154703</v>
      </c>
      <c r="O327" s="111">
        <f ca="1">+N329</f>
        <v>102.9884647971969</v>
      </c>
      <c r="Q327"/>
      <c r="R327"/>
      <c r="S327"/>
      <c r="T327"/>
      <c r="U327" s="23"/>
      <c r="V327" s="23"/>
      <c r="W327"/>
    </row>
    <row r="328" spans="2:23" ht="12.95" customHeight="1" x14ac:dyDescent="0.25">
      <c r="B328" s="20" t="str">
        <f>+B320</f>
        <v>Net Shares Issued / (Repurchased)</v>
      </c>
      <c r="C328" s="20"/>
      <c r="D328" s="20"/>
      <c r="E328" s="20"/>
      <c r="F328" s="20"/>
      <c r="G328" s="20"/>
      <c r="H328" s="140"/>
      <c r="I328" s="140"/>
      <c r="J328" s="122"/>
      <c r="K328" s="77">
        <f ca="1">+K320</f>
        <v>0.34171121903364332</v>
      </c>
      <c r="L328" s="77">
        <f ca="1">+L320</f>
        <v>0.35350205115656569</v>
      </c>
      <c r="M328" s="77">
        <f ca="1">+M320</f>
        <v>0.36420872819232197</v>
      </c>
      <c r="N328" s="77">
        <f ca="1">+N320</f>
        <v>0.37388475564987339</v>
      </c>
      <c r="O328" s="77">
        <f ca="1">+O320</f>
        <v>0.3825827973545306</v>
      </c>
      <c r="Q328"/>
      <c r="R328"/>
      <c r="S328"/>
      <c r="T328"/>
      <c r="U328" s="23"/>
      <c r="V328" s="23"/>
      <c r="W328"/>
    </row>
    <row r="329" spans="2:23" s="21" customFormat="1" ht="12.95" customHeight="1" x14ac:dyDescent="0.25">
      <c r="B329" s="92" t="s">
        <v>150</v>
      </c>
      <c r="C329" s="92"/>
      <c r="D329" s="92"/>
      <c r="E329" s="92"/>
      <c r="F329" s="92"/>
      <c r="G329" s="92"/>
      <c r="H329" s="142"/>
      <c r="I329" s="142"/>
      <c r="J329" s="141"/>
      <c r="K329" s="189">
        <f ca="1">SUM(K327:K328)</f>
        <v>101.89686926219814</v>
      </c>
      <c r="L329" s="189">
        <f ca="1">SUM(L327:L328)</f>
        <v>102.25037131335471</v>
      </c>
      <c r="M329" s="189">
        <f ca="1">SUM(M327:M328)</f>
        <v>102.61458004154703</v>
      </c>
      <c r="N329" s="189">
        <f ca="1">SUM(N327:N328)</f>
        <v>102.9884647971969</v>
      </c>
      <c r="O329" s="189">
        <f ca="1">SUM(O327:O328)</f>
        <v>103.37104759455143</v>
      </c>
      <c r="Q329"/>
      <c r="R329"/>
      <c r="S329"/>
      <c r="T329"/>
      <c r="U329" s="23"/>
      <c r="V329" s="23"/>
      <c r="W329"/>
    </row>
    <row r="330" spans="2:23" ht="12.95" customHeight="1" x14ac:dyDescent="0.25">
      <c r="Q330"/>
      <c r="R330"/>
      <c r="S330"/>
      <c r="T330"/>
    </row>
    <row r="331" spans="2:23" ht="12.95" customHeight="1" x14ac:dyDescent="0.25">
      <c r="B331" s="26" t="s">
        <v>311</v>
      </c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30"/>
      <c r="Q331"/>
      <c r="R331"/>
      <c r="S331"/>
      <c r="T331"/>
    </row>
    <row r="332" spans="2:23" ht="12.95" customHeight="1" x14ac:dyDescent="0.2">
      <c r="H332" s="23"/>
      <c r="I332" s="23"/>
      <c r="J332" s="23"/>
      <c r="P332" s="93"/>
      <c r="Q332" s="93"/>
      <c r="R332" s="93"/>
    </row>
    <row r="333" spans="2:23" ht="12.95" customHeight="1" x14ac:dyDescent="0.2">
      <c r="B333" s="362" t="s">
        <v>360</v>
      </c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  <c r="P333" s="367"/>
      <c r="Q333" s="367"/>
      <c r="R333" s="93"/>
    </row>
    <row r="334" spans="2:23" ht="12.95" customHeight="1" x14ac:dyDescent="0.2">
      <c r="B334" s="81" t="s">
        <v>332</v>
      </c>
      <c r="C334" s="81"/>
      <c r="D334" s="81"/>
      <c r="E334" s="81"/>
      <c r="F334" s="81"/>
      <c r="G334" s="81"/>
      <c r="H334" s="81"/>
      <c r="I334" s="81"/>
      <c r="J334" s="81"/>
      <c r="K334" s="364">
        <v>8.2500000000000059E-2</v>
      </c>
      <c r="L334" s="364">
        <v>8.5000000000000062E-2</v>
      </c>
      <c r="M334" s="364">
        <v>8.7500000000000064E-2</v>
      </c>
      <c r="N334" s="364">
        <v>9.0000000000000066E-2</v>
      </c>
      <c r="O334" s="364">
        <v>9.2500000000000068E-2</v>
      </c>
      <c r="P334" s="93"/>
      <c r="Q334" s="93"/>
      <c r="R334" s="93"/>
    </row>
    <row r="335" spans="2:23" ht="12.95" customHeight="1" x14ac:dyDescent="0.2">
      <c r="B335" s="81" t="s">
        <v>104</v>
      </c>
      <c r="C335" s="81"/>
      <c r="D335" s="81"/>
      <c r="E335" s="81"/>
      <c r="F335" s="81"/>
      <c r="G335" s="81"/>
      <c r="H335" s="81"/>
      <c r="I335" s="81"/>
      <c r="J335" s="81"/>
      <c r="K335" s="364">
        <v>7.2500000000000064E-2</v>
      </c>
      <c r="L335" s="364">
        <v>7.5000000000000067E-2</v>
      </c>
      <c r="M335" s="364">
        <v>7.7500000000000069E-2</v>
      </c>
      <c r="N335" s="364">
        <v>8.0000000000000071E-2</v>
      </c>
      <c r="O335" s="364">
        <v>8.2500000000000073E-2</v>
      </c>
      <c r="P335" s="93"/>
      <c r="Q335" s="93"/>
      <c r="R335" s="93"/>
    </row>
    <row r="336" spans="2:23" ht="12.95" customHeight="1" x14ac:dyDescent="0.2">
      <c r="B336" s="363" t="s">
        <v>333</v>
      </c>
      <c r="C336" s="363"/>
      <c r="D336" s="363"/>
      <c r="E336" s="363"/>
      <c r="F336" s="363"/>
      <c r="G336" s="363"/>
      <c r="H336" s="363"/>
      <c r="I336" s="363"/>
      <c r="J336" s="363"/>
      <c r="K336" s="365">
        <v>6.2500000000000069E-2</v>
      </c>
      <c r="L336" s="365">
        <v>6.5000000000000072E-2</v>
      </c>
      <c r="M336" s="365">
        <v>6.7500000000000074E-2</v>
      </c>
      <c r="N336" s="365">
        <v>7.0000000000000076E-2</v>
      </c>
      <c r="O336" s="365">
        <v>7.2500000000000078E-2</v>
      </c>
      <c r="P336" s="93"/>
      <c r="Q336" s="93"/>
      <c r="R336" s="93"/>
    </row>
    <row r="337" spans="2:18" ht="12.95" customHeight="1" x14ac:dyDescent="0.2">
      <c r="B337" s="362" t="str">
        <f ca="1">+OFFSET(B333,$D$10,0)</f>
        <v>Mid (Base) Case</v>
      </c>
      <c r="C337" s="363"/>
      <c r="D337" s="363"/>
      <c r="E337" s="363"/>
      <c r="F337" s="363"/>
      <c r="G337" s="363"/>
      <c r="H337" s="363"/>
      <c r="I337" s="363"/>
      <c r="J337" s="363"/>
      <c r="K337" s="368">
        <f ca="1">+OFFSET(K333,$D$10,0)</f>
        <v>7.2500000000000064E-2</v>
      </c>
      <c r="L337" s="368">
        <f t="shared" ref="L337:O337" ca="1" si="50">+OFFSET(L333,$D$10,0)</f>
        <v>7.5000000000000067E-2</v>
      </c>
      <c r="M337" s="368">
        <f t="shared" ca="1" si="50"/>
        <v>7.7500000000000069E-2</v>
      </c>
      <c r="N337" s="368">
        <f t="shared" ca="1" si="50"/>
        <v>8.0000000000000071E-2</v>
      </c>
      <c r="O337" s="368">
        <f t="shared" ca="1" si="50"/>
        <v>8.2500000000000073E-2</v>
      </c>
      <c r="P337" s="93"/>
      <c r="Q337" s="93"/>
      <c r="R337" s="93"/>
    </row>
    <row r="338" spans="2:18" ht="12.95" customHeight="1" x14ac:dyDescent="0.2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8" ht="12.95" customHeight="1" x14ac:dyDescent="0.2">
      <c r="B339" s="362" t="s">
        <v>45</v>
      </c>
      <c r="C339" s="363"/>
      <c r="D339" s="363"/>
      <c r="E339" s="363"/>
      <c r="F339" s="363"/>
      <c r="G339" s="363"/>
      <c r="H339" s="363"/>
      <c r="I339" s="363"/>
      <c r="J339" s="363"/>
      <c r="K339" s="363"/>
      <c r="L339" s="363"/>
      <c r="M339" s="363"/>
      <c r="N339" s="363"/>
      <c r="O339" s="363"/>
    </row>
    <row r="340" spans="2:18" ht="12.95" customHeight="1" x14ac:dyDescent="0.2">
      <c r="B340" s="81" t="s">
        <v>332</v>
      </c>
      <c r="C340" s="81"/>
      <c r="D340" s="81"/>
      <c r="E340" s="81"/>
      <c r="F340" s="81"/>
      <c r="G340" s="81"/>
      <c r="H340" s="81"/>
      <c r="I340" s="81"/>
      <c r="J340" s="81"/>
      <c r="K340" s="364">
        <v>0.45150000000000001</v>
      </c>
      <c r="L340" s="364">
        <v>0.45350000000000001</v>
      </c>
      <c r="M340" s="364">
        <v>0.45550000000000002</v>
      </c>
      <c r="N340" s="364">
        <v>0.45750000000000002</v>
      </c>
      <c r="O340" s="364">
        <v>0.45950000000000002</v>
      </c>
    </row>
    <row r="341" spans="2:18" ht="12.95" customHeight="1" x14ac:dyDescent="0.2">
      <c r="B341" s="81" t="s">
        <v>104</v>
      </c>
      <c r="C341" s="81"/>
      <c r="D341" s="81"/>
      <c r="E341" s="81"/>
      <c r="F341" s="81"/>
      <c r="G341" s="81"/>
      <c r="H341" s="81"/>
      <c r="I341" s="81"/>
      <c r="J341" s="81"/>
      <c r="K341" s="364">
        <v>0.44400000000000001</v>
      </c>
      <c r="L341" s="364">
        <v>0.44600000000000001</v>
      </c>
      <c r="M341" s="364">
        <v>0.44800000000000001</v>
      </c>
      <c r="N341" s="364">
        <v>0.45</v>
      </c>
      <c r="O341" s="364">
        <v>0.45200000000000001</v>
      </c>
    </row>
    <row r="342" spans="2:18" ht="12.95" customHeight="1" x14ac:dyDescent="0.2">
      <c r="B342" s="363" t="s">
        <v>333</v>
      </c>
      <c r="C342" s="363"/>
      <c r="D342" s="363"/>
      <c r="E342" s="363"/>
      <c r="F342" s="363"/>
      <c r="G342" s="363"/>
      <c r="H342" s="363"/>
      <c r="I342" s="363"/>
      <c r="J342" s="363"/>
      <c r="K342" s="365">
        <v>0.4365</v>
      </c>
      <c r="L342" s="365">
        <v>0.4385</v>
      </c>
      <c r="M342" s="365">
        <v>0.4405</v>
      </c>
      <c r="N342" s="365">
        <v>0.4425</v>
      </c>
      <c r="O342" s="365">
        <v>0.44450000000000001</v>
      </c>
    </row>
    <row r="343" spans="2:18" ht="12.95" customHeight="1" x14ac:dyDescent="0.2">
      <c r="B343" s="362" t="str">
        <f ca="1">+OFFSET(B339,$D$10,0)</f>
        <v>Mid (Base) Case</v>
      </c>
      <c r="C343" s="363"/>
      <c r="D343" s="363"/>
      <c r="E343" s="363"/>
      <c r="F343" s="363"/>
      <c r="G343" s="363"/>
      <c r="H343" s="363"/>
      <c r="I343" s="363"/>
      <c r="J343" s="363"/>
      <c r="K343" s="368">
        <f ca="1">+OFFSET(K339,$D$10,0)</f>
        <v>0.44400000000000001</v>
      </c>
      <c r="L343" s="368">
        <f t="shared" ref="L343:O343" ca="1" si="51">+OFFSET(L339,$D$10,0)</f>
        <v>0.44600000000000001</v>
      </c>
      <c r="M343" s="368">
        <f t="shared" ca="1" si="51"/>
        <v>0.44800000000000001</v>
      </c>
      <c r="N343" s="368">
        <f t="shared" ca="1" si="51"/>
        <v>0.45</v>
      </c>
      <c r="O343" s="368">
        <f t="shared" ca="1" si="51"/>
        <v>0.45200000000000001</v>
      </c>
    </row>
    <row r="344" spans="2:18" ht="12.95" customHeight="1" x14ac:dyDescent="0.2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8" ht="12.95" customHeight="1" x14ac:dyDescent="0.2">
      <c r="B345" s="362" t="s">
        <v>361</v>
      </c>
      <c r="C345" s="363"/>
      <c r="D345" s="363"/>
      <c r="E345" s="363"/>
      <c r="F345" s="363"/>
      <c r="G345" s="363"/>
      <c r="H345" s="363"/>
      <c r="I345" s="363"/>
      <c r="J345" s="363"/>
      <c r="K345" s="363"/>
      <c r="L345" s="363"/>
      <c r="M345" s="363"/>
      <c r="N345" s="363"/>
      <c r="O345" s="363"/>
    </row>
    <row r="346" spans="2:18" ht="12.95" customHeight="1" x14ac:dyDescent="0.2">
      <c r="B346" s="81" t="s">
        <v>332</v>
      </c>
      <c r="C346" s="81"/>
      <c r="D346" s="81"/>
      <c r="E346" s="81"/>
      <c r="F346" s="81"/>
      <c r="G346" s="81"/>
      <c r="H346" s="81"/>
      <c r="I346" s="81"/>
      <c r="J346" s="81"/>
      <c r="K346" s="364">
        <v>0.26800000000000002</v>
      </c>
      <c r="L346" s="364">
        <v>0.26650000000000001</v>
      </c>
      <c r="M346" s="364">
        <v>0.26500000000000001</v>
      </c>
      <c r="N346" s="364">
        <v>0.26350000000000001</v>
      </c>
      <c r="O346" s="364">
        <v>0.26200000000000001</v>
      </c>
    </row>
    <row r="347" spans="2:18" ht="12.95" customHeight="1" x14ac:dyDescent="0.2">
      <c r="B347" s="81" t="s">
        <v>104</v>
      </c>
      <c r="C347" s="81"/>
      <c r="D347" s="81"/>
      <c r="E347" s="81"/>
      <c r="F347" s="81"/>
      <c r="G347" s="81"/>
      <c r="H347" s="81"/>
      <c r="I347" s="81"/>
      <c r="J347" s="81"/>
      <c r="K347" s="364">
        <v>0.27300000000000002</v>
      </c>
      <c r="L347" s="364">
        <v>0.27150000000000002</v>
      </c>
      <c r="M347" s="364">
        <v>0.27</v>
      </c>
      <c r="N347" s="364">
        <v>0.26850000000000002</v>
      </c>
      <c r="O347" s="364">
        <v>0.26700000000000002</v>
      </c>
    </row>
    <row r="348" spans="2:18" ht="12.95" customHeight="1" x14ac:dyDescent="0.2">
      <c r="B348" s="363" t="s">
        <v>333</v>
      </c>
      <c r="C348" s="363"/>
      <c r="D348" s="363"/>
      <c r="E348" s="363"/>
      <c r="F348" s="363"/>
      <c r="G348" s="363"/>
      <c r="H348" s="363"/>
      <c r="I348" s="363"/>
      <c r="J348" s="363"/>
      <c r="K348" s="365">
        <v>0.27800000000000002</v>
      </c>
      <c r="L348" s="365">
        <v>0.27650000000000002</v>
      </c>
      <c r="M348" s="365">
        <v>0.27500000000000002</v>
      </c>
      <c r="N348" s="365">
        <v>0.27350000000000002</v>
      </c>
      <c r="O348" s="365">
        <v>0.27200000000000002</v>
      </c>
    </row>
    <row r="349" spans="2:18" ht="12.95" customHeight="1" x14ac:dyDescent="0.2">
      <c r="B349" s="362" t="str">
        <f ca="1">+OFFSET(B345,$D$10,0)</f>
        <v>Mid (Base) Case</v>
      </c>
      <c r="C349" s="363"/>
      <c r="D349" s="363"/>
      <c r="E349" s="363"/>
      <c r="F349" s="363"/>
      <c r="G349" s="363"/>
      <c r="H349" s="363"/>
      <c r="I349" s="363"/>
      <c r="J349" s="363"/>
      <c r="K349" s="368">
        <f ca="1">+OFFSET(K345,$D$10,0)</f>
        <v>0.27300000000000002</v>
      </c>
      <c r="L349" s="368">
        <f t="shared" ref="L349:O349" ca="1" si="52">+OFFSET(L345,$D$10,0)</f>
        <v>0.27150000000000002</v>
      </c>
      <c r="M349" s="368">
        <f t="shared" ca="1" si="52"/>
        <v>0.27</v>
      </c>
      <c r="N349" s="368">
        <f t="shared" ca="1" si="52"/>
        <v>0.26850000000000002</v>
      </c>
      <c r="O349" s="368">
        <f t="shared" ca="1" si="52"/>
        <v>0.26700000000000002</v>
      </c>
    </row>
  </sheetData>
  <conditionalFormatting sqref="A259:A274 A276:A284 A321:A330 A286:A302 A1:A133 A304:A317 A141:A257 A340:A1048576">
    <cfRule type="expression" dxfId="35" priority="9">
      <formula>$D$18&gt;0</formula>
    </cfRule>
  </conditionalFormatting>
  <conditionalFormatting sqref="A258">
    <cfRule type="expression" dxfId="34" priority="8">
      <formula>$D$18&gt;0</formula>
    </cfRule>
  </conditionalFormatting>
  <conditionalFormatting sqref="A275">
    <cfRule type="expression" dxfId="33" priority="7">
      <formula>$D$18&gt;0</formula>
    </cfRule>
  </conditionalFormatting>
  <conditionalFormatting sqref="A285">
    <cfRule type="expression" dxfId="32" priority="6">
      <formula>$D$18&gt;0</formula>
    </cfRule>
  </conditionalFormatting>
  <conditionalFormatting sqref="A293">
    <cfRule type="expression" dxfId="31" priority="5">
      <formula>$D$18&gt;0</formula>
    </cfRule>
  </conditionalFormatting>
  <conditionalFormatting sqref="A303">
    <cfRule type="expression" dxfId="30" priority="4">
      <formula>$D$18&gt;0</formula>
    </cfRule>
  </conditionalFormatting>
  <conditionalFormatting sqref="A318:A320">
    <cfRule type="expression" dxfId="29" priority="3">
      <formula>$D$18&gt;0</formula>
    </cfRule>
  </conditionalFormatting>
  <conditionalFormatting sqref="A134:A138 A140">
    <cfRule type="expression" dxfId="28" priority="2">
      <formula>$D$18&gt;0</formula>
    </cfRule>
  </conditionalFormatting>
  <conditionalFormatting sqref="A139">
    <cfRule type="expression" dxfId="27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8" manualBreakCount="8">
    <brk id="58" min="1" max="14" man="1"/>
    <brk id="97" min="1" max="14" man="1"/>
    <brk id="161" min="1" max="14" man="1"/>
    <brk id="196" min="1" max="14" man="1"/>
    <brk id="222" min="1" max="14" man="1"/>
    <brk id="273" min="1" max="14" man="1"/>
    <brk id="301" min="1" max="14" man="1"/>
    <brk id="329" min="1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F330-D641-4912-BA66-A6327117F116}">
  <dimension ref="A2:X304"/>
  <sheetViews>
    <sheetView showGridLines="0" zoomScaleNormal="100" zoomScaleSheetLayoutView="85" workbookViewId="0"/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332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333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+IF(SUM(H142:O142)=0,0,1)</f>
        <v>0</v>
      </c>
    </row>
    <row r="17" spans="1:15" ht="12.95" customHeight="1" x14ac:dyDescent="0.2">
      <c r="B17" s="1" t="s">
        <v>8</v>
      </c>
      <c r="D17" s="259">
        <f ca="1">+IF(SUM(K237:O237)=0,0,1)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ca="1" si="0"/>
        <v>1478.7282679410305</v>
      </c>
      <c r="L27" s="147">
        <f t="shared" ca="1" si="0"/>
        <v>1589.6328880366079</v>
      </c>
      <c r="M27" s="147">
        <f t="shared" ca="1" si="0"/>
        <v>1712.8294368594452</v>
      </c>
      <c r="N27" s="147">
        <f t="shared" ca="1" si="0"/>
        <v>1849.8557918082008</v>
      </c>
      <c r="O27" s="147">
        <f t="shared" ca="1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ca="1" si="1"/>
        <v>7.2500000000000009E-2</v>
      </c>
      <c r="L28" s="218">
        <f t="shared" ca="1" si="1"/>
        <v>7.5000000000000178E-2</v>
      </c>
      <c r="M28" s="218">
        <f t="shared" ca="1" si="1"/>
        <v>7.7500000000000124E-2</v>
      </c>
      <c r="N28" s="218">
        <f t="shared" ca="1" si="1"/>
        <v>8.0000000000000071E-2</v>
      </c>
      <c r="O28" s="218">
        <f t="shared" ca="1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ca="1" si="2"/>
        <v>272.82536543511998</v>
      </c>
      <c r="L29" s="147">
        <f t="shared" ca="1" si="2"/>
        <v>299.64579939490051</v>
      </c>
      <c r="M29" s="147">
        <f t="shared" ca="1" si="2"/>
        <v>329.71966659544307</v>
      </c>
      <c r="N29" s="147">
        <f t="shared" ca="1" si="2"/>
        <v>363.49666309031136</v>
      </c>
      <c r="O29" s="147">
        <f t="shared" ca="1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ca="1" si="3"/>
        <v>0.18449999999999991</v>
      </c>
      <c r="L30" s="218">
        <f t="shared" ca="1" si="3"/>
        <v>0.18849999999999995</v>
      </c>
      <c r="M30" s="218">
        <f t="shared" ca="1" si="3"/>
        <v>0.19249999999999992</v>
      </c>
      <c r="N30" s="218">
        <f t="shared" ca="1" si="3"/>
        <v>0.19649999999999995</v>
      </c>
      <c r="O30" s="218">
        <f t="shared" ca="1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 ca="1">-K185</f>
        <v>21.441559885144944</v>
      </c>
      <c r="L33" s="160">
        <f ca="1">-L185</f>
        <v>23.84449332054912</v>
      </c>
      <c r="M33" s="160">
        <f ca="1">-M185</f>
        <v>26.548856271321402</v>
      </c>
      <c r="N33" s="160">
        <f ca="1">-N185</f>
        <v>29.597692668931213</v>
      </c>
      <c r="O33" s="160">
        <f ca="1">-O185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 ca="1">+K33/K27</f>
        <v>1.4500000000000001E-2</v>
      </c>
      <c r="L34" s="218">
        <f ca="1">+L33/L27</f>
        <v>1.5000000000000001E-2</v>
      </c>
      <c r="M34" s="218">
        <f ca="1">+M33/M27</f>
        <v>1.55E-2</v>
      </c>
      <c r="N34" s="218">
        <f ca="1">+N33/N27</f>
        <v>1.6E-2</v>
      </c>
      <c r="O34" s="218">
        <f ca="1"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328</v>
      </c>
      <c r="H38" s="143"/>
      <c r="I38" s="143"/>
      <c r="J38" s="120"/>
      <c r="K38" s="118">
        <f ca="1">+K84+K169</f>
        <v>283.93724612209644</v>
      </c>
      <c r="L38" s="118">
        <f ca="1">+L84+L169</f>
        <v>311.59107113340019</v>
      </c>
      <c r="M38" s="118">
        <f ca="1">+M84+M169</f>
        <v>342.59069689367647</v>
      </c>
      <c r="N38" s="118">
        <f ca="1">+N84+N169</f>
        <v>377.39737581240342</v>
      </c>
      <c r="O38" s="118">
        <f ca="1">+O84+O169</f>
        <v>416.54253489545624</v>
      </c>
    </row>
    <row r="39" spans="2:15" ht="12.95" customHeight="1" x14ac:dyDescent="0.2">
      <c r="B39" s="1" t="s">
        <v>330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 ca="1">+K180</f>
        <v>-10.511989007322436</v>
      </c>
      <c r="L41" s="137">
        <f ca="1">+L180</f>
        <v>-11.660916381467509</v>
      </c>
      <c r="M41" s="137">
        <f ca="1">+M180</f>
        <v>-12.951044653209886</v>
      </c>
      <c r="N41" s="137">
        <f ca="1">+N180</f>
        <v>-14.402236689579912</v>
      </c>
      <c r="O41" s="137">
        <f ca="1">+O180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 ca="1">-K33</f>
        <v>-21.441559885144944</v>
      </c>
      <c r="L42" s="137">
        <f ca="1">-L33</f>
        <v>-23.84449332054912</v>
      </c>
      <c r="M42" s="137">
        <f ca="1">-M33</f>
        <v>-26.548856271321402</v>
      </c>
      <c r="N42" s="137">
        <f ca="1">-N33</f>
        <v>-29.597692668931213</v>
      </c>
      <c r="O42" s="137">
        <f ca="1"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4">+K121</f>
        <v>0</v>
      </c>
      <c r="L49" s="137">
        <f t="shared" ca="1" si="4"/>
        <v>0</v>
      </c>
      <c r="M49" s="137">
        <f t="shared" ca="1" si="4"/>
        <v>0</v>
      </c>
      <c r="N49" s="137">
        <f t="shared" ca="1" si="4"/>
        <v>0</v>
      </c>
      <c r="O49" s="137">
        <f t="shared" ca="1" si="4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4"/>
        <v>50</v>
      </c>
      <c r="L50" s="140">
        <f t="shared" si="4"/>
        <v>50</v>
      </c>
      <c r="M50" s="140">
        <f t="shared" si="4"/>
        <v>50</v>
      </c>
      <c r="N50" s="140">
        <f t="shared" si="4"/>
        <v>50</v>
      </c>
      <c r="O50" s="140">
        <f t="shared" si="4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1012.785947090466</v>
      </c>
      <c r="L52" s="140">
        <f t="shared" ref="L52:O52" ca="1" si="5">+SUM(L125:L127)</f>
        <v>1219.9109434886702</v>
      </c>
      <c r="M52" s="140">
        <f t="shared" ca="1" si="5"/>
        <v>1448.7232675914715</v>
      </c>
      <c r="N52" s="140">
        <f t="shared" ca="1" si="5"/>
        <v>1701.8488422858063</v>
      </c>
      <c r="O52" s="140">
        <f t="shared" ca="1" si="5"/>
        <v>1982.2757939329481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1062.7859470904659</v>
      </c>
      <c r="L53" s="147">
        <f ca="1">SUM(L51:L52)</f>
        <v>1269.9109434886702</v>
      </c>
      <c r="M53" s="147">
        <f ca="1">SUM(M51:M52)</f>
        <v>1498.7232675914715</v>
      </c>
      <c r="N53" s="147">
        <f ca="1">SUM(N51:N52)</f>
        <v>1751.8488422858063</v>
      </c>
      <c r="O53" s="147">
        <f ca="1">SUM(O51:O52)</f>
        <v>2032.2757939329481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285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 ca="1">+J64*(1+K89)</f>
        <v>1478.7282679410305</v>
      </c>
      <c r="L64" s="195">
        <f ca="1">+K64*(1+L89)</f>
        <v>1589.6328880366079</v>
      </c>
      <c r="M64" s="195">
        <f ca="1">+L64*(1+M89)</f>
        <v>1712.8294368594452</v>
      </c>
      <c r="N64" s="195">
        <f ca="1">+M64*(1+N89)</f>
        <v>1849.8557918082008</v>
      </c>
      <c r="O64" s="195">
        <f ca="1"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 ca="1">-(K64*(1-K90))</f>
        <v>-822.17291697521307</v>
      </c>
      <c r="L65" s="153">
        <f ca="1">-(L64*(1-L90))</f>
        <v>-880.65661997228085</v>
      </c>
      <c r="M65" s="153">
        <f ca="1">-(M64*(1-M90))</f>
        <v>-945.48184914641388</v>
      </c>
      <c r="N65" s="153">
        <f ca="1">-(N64*(1-N90))</f>
        <v>-1017.4206854945105</v>
      </c>
      <c r="O65" s="153">
        <f ca="1"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6">SUM(H64:H65)</f>
        <v>529.94622062969995</v>
      </c>
      <c r="I66" s="53">
        <f t="shared" si="6"/>
        <v>566.96986070108994</v>
      </c>
      <c r="J66" s="54">
        <f t="shared" si="6"/>
        <v>609.41528618175801</v>
      </c>
      <c r="K66" s="134">
        <f t="shared" ca="1" si="6"/>
        <v>656.55535096581741</v>
      </c>
      <c r="L66" s="135">
        <f t="shared" ca="1" si="6"/>
        <v>708.97626806432709</v>
      </c>
      <c r="M66" s="135">
        <f t="shared" ca="1" si="6"/>
        <v>767.34758771303132</v>
      </c>
      <c r="N66" s="135">
        <f t="shared" ca="1" si="6"/>
        <v>832.43510631369031</v>
      </c>
      <c r="O66" s="135">
        <f t="shared" ca="1" si="6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 ca="1">-K64*K91</f>
        <v>-403.69281714790134</v>
      </c>
      <c r="L67" s="135">
        <f ca="1">-L64*L91</f>
        <v>-431.58532910193907</v>
      </c>
      <c r="M67" s="135">
        <f ca="1">-M64*M91</f>
        <v>-462.46394795205021</v>
      </c>
      <c r="N67" s="135">
        <f ca="1">-N64*N91</f>
        <v>-496.68628010050196</v>
      </c>
      <c r="O67" s="135">
        <f ca="1"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7">+SUM(H66:H67)</f>
        <v>194.19262194307487</v>
      </c>
      <c r="I68" s="55">
        <f t="shared" si="7"/>
        <v>211.32512989767895</v>
      </c>
      <c r="J68" s="56">
        <f t="shared" si="7"/>
        <v>230.9435756458019</v>
      </c>
      <c r="K68" s="196">
        <f t="shared" ca="1" si="7"/>
        <v>252.86253381791607</v>
      </c>
      <c r="L68" s="196">
        <f t="shared" ca="1" si="7"/>
        <v>277.39093896238802</v>
      </c>
      <c r="M68" s="196">
        <f t="shared" ca="1" si="7"/>
        <v>304.88363976098111</v>
      </c>
      <c r="N68" s="196">
        <f t="shared" ca="1" si="7"/>
        <v>335.74882621318835</v>
      </c>
      <c r="O68" s="196">
        <f t="shared" ca="1" si="7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+K256</f>
        <v>8.0115731903898535</v>
      </c>
      <c r="L69" s="135">
        <f ca="1">+L256</f>
        <v>9.859736229226117</v>
      </c>
      <c r="M69" s="135">
        <f ca="1">+M256</f>
        <v>11.899850714933278</v>
      </c>
      <c r="N69" s="135">
        <f ca="1">+N256</f>
        <v>14.154960376061672</v>
      </c>
      <c r="O69" s="135">
        <f ca="1">+O256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-(K234+K245)</f>
        <v>-2.5</v>
      </c>
      <c r="L70" s="217">
        <f ca="1">-(L234+L245)</f>
        <v>-2.5</v>
      </c>
      <c r="M70" s="217">
        <f ca="1">-(M234+M245)</f>
        <v>-2.5</v>
      </c>
      <c r="N70" s="217">
        <f ca="1">-(N234+N245)</f>
        <v>-2.5</v>
      </c>
      <c r="O70" s="217">
        <f ca="1">-(O234+O245)</f>
        <v>-2.5</v>
      </c>
    </row>
    <row r="71" spans="2:15" ht="12.95" customHeight="1" x14ac:dyDescent="0.2">
      <c r="B71" s="1" t="s">
        <v>37</v>
      </c>
      <c r="H71" s="53">
        <f t="shared" ref="H71:O71" si="8">+SUM(H68:H70)</f>
        <v>195.11265228478928</v>
      </c>
      <c r="I71" s="53">
        <f t="shared" si="8"/>
        <v>213.63592421907794</v>
      </c>
      <c r="J71" s="54">
        <f t="shared" si="8"/>
        <v>234.77863638934826</v>
      </c>
      <c r="K71" s="134">
        <f t="shared" ca="1" si="8"/>
        <v>258.37410700830594</v>
      </c>
      <c r="L71" s="134">
        <f t="shared" ca="1" si="8"/>
        <v>284.75067519161416</v>
      </c>
      <c r="M71" s="134">
        <f t="shared" ca="1" si="8"/>
        <v>314.28349047591439</v>
      </c>
      <c r="N71" s="134">
        <f t="shared" ca="1" si="8"/>
        <v>347.40378658925005</v>
      </c>
      <c r="O71" s="134">
        <f t="shared" ca="1" si="8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9">+SUM(H71:H72)</f>
        <v>144.38336269074406</v>
      </c>
      <c r="I73" s="55">
        <f t="shared" si="9"/>
        <v>158.09058392211767</v>
      </c>
      <c r="J73" s="56">
        <f t="shared" si="9"/>
        <v>173.73619092811771</v>
      </c>
      <c r="K73" s="145">
        <f t="shared" ca="1" si="9"/>
        <v>191.19683918614641</v>
      </c>
      <c r="L73" s="145">
        <f t="shared" ca="1" si="9"/>
        <v>210.71549964179448</v>
      </c>
      <c r="M73" s="145">
        <f t="shared" ca="1" si="9"/>
        <v>232.56978295217664</v>
      </c>
      <c r="N73" s="145">
        <f t="shared" ca="1" si="9"/>
        <v>257.07880207604501</v>
      </c>
      <c r="O73" s="145">
        <f t="shared" ca="1" si="9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 ca="1">+K265</f>
        <v>101.89686926219814</v>
      </c>
      <c r="L75" s="193">
        <f ca="1">+L265</f>
        <v>102.25037131335471</v>
      </c>
      <c r="M75" s="193">
        <f ca="1">+M265</f>
        <v>102.61458004154703</v>
      </c>
      <c r="N75" s="193">
        <f ca="1">+N265</f>
        <v>102.9884647971969</v>
      </c>
      <c r="O75" s="193">
        <f ca="1">+O265</f>
        <v>103.37104759455143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0">+H73/H75</f>
        <v>1.4308113800816931</v>
      </c>
      <c r="I76" s="126">
        <f t="shared" si="10"/>
        <v>1.5617690450035633</v>
      </c>
      <c r="J76" s="127">
        <f t="shared" si="10"/>
        <v>1.7107569352043521</v>
      </c>
      <c r="K76" s="200">
        <f t="shared" ca="1" si="10"/>
        <v>1.8763759924180214</v>
      </c>
      <c r="L76" s="200">
        <f t="shared" ca="1" si="10"/>
        <v>2.0607797989900636</v>
      </c>
      <c r="M76" s="200">
        <f t="shared" ca="1" si="10"/>
        <v>2.266439943115421</v>
      </c>
      <c r="N76" s="200">
        <f t="shared" ca="1" si="10"/>
        <v>2.4961902537558953</v>
      </c>
      <c r="O76" s="200">
        <f t="shared" ca="1" si="10"/>
        <v>2.7532847259533044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 ca="1">+K267</f>
        <v>106.89686926219814</v>
      </c>
      <c r="L78" s="193">
        <f ca="1">+L267</f>
        <v>107.25037131335471</v>
      </c>
      <c r="M78" s="193">
        <f ca="1">+M267</f>
        <v>107.61458004154703</v>
      </c>
      <c r="N78" s="193">
        <f ca="1">+N267</f>
        <v>107.9884647971969</v>
      </c>
      <c r="O78" s="193">
        <f ca="1">+O267</f>
        <v>108.37104759455143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1">+H73/H78</f>
        <v>1.3632630078415335</v>
      </c>
      <c r="I79" s="126">
        <f t="shared" si="11"/>
        <v>1.4882569611323133</v>
      </c>
      <c r="J79" s="127">
        <f t="shared" si="11"/>
        <v>1.6304812842353329</v>
      </c>
      <c r="K79" s="200">
        <f t="shared" ca="1" si="11"/>
        <v>1.7886102792886864</v>
      </c>
      <c r="L79" s="200">
        <f t="shared" ca="1" si="11"/>
        <v>1.9647064813057333</v>
      </c>
      <c r="M79" s="200">
        <f t="shared" ca="1" si="11"/>
        <v>2.1611363707630309</v>
      </c>
      <c r="N79" s="200">
        <f t="shared" ca="1" si="11"/>
        <v>2.3806135457045419</v>
      </c>
      <c r="O79" s="200">
        <f t="shared" ca="1" si="11"/>
        <v>2.6262542696152718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12">+H68</f>
        <v>194.19262194307487</v>
      </c>
      <c r="I82" s="53">
        <f t="shared" si="12"/>
        <v>211.32512989767895</v>
      </c>
      <c r="J82" s="54">
        <f t="shared" si="12"/>
        <v>230.9435756458019</v>
      </c>
      <c r="K82" s="197">
        <f t="shared" ca="1" si="12"/>
        <v>252.86253381791607</v>
      </c>
      <c r="L82" s="197">
        <f t="shared" ca="1" si="12"/>
        <v>277.39093896238802</v>
      </c>
      <c r="M82" s="197">
        <f t="shared" ca="1" si="12"/>
        <v>304.88363976098111</v>
      </c>
      <c r="N82" s="197">
        <f t="shared" ca="1" si="12"/>
        <v>335.74882621318835</v>
      </c>
      <c r="O82" s="197">
        <f t="shared" ca="1" si="12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 ca="1">+K133</f>
        <v>19.962831617203911</v>
      </c>
      <c r="L83" s="134">
        <f t="shared" ref="L83:O83" ca="1" si="13">+L133</f>
        <v>22.254860432512512</v>
      </c>
      <c r="M83" s="134">
        <f t="shared" ca="1" si="13"/>
        <v>24.836026834461958</v>
      </c>
      <c r="N83" s="134">
        <f t="shared" ca="1" si="13"/>
        <v>27.747836877123014</v>
      </c>
      <c r="O83" s="134">
        <f t="shared" ca="1" si="13"/>
        <v>31.038267866801853</v>
      </c>
    </row>
    <row r="84" spans="2:15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ca="1" si="14"/>
        <v>272.82536543511998</v>
      </c>
      <c r="L84" s="197">
        <f t="shared" ca="1" si="14"/>
        <v>299.64579939490051</v>
      </c>
      <c r="M84" s="197">
        <f t="shared" ca="1" si="14"/>
        <v>329.71966659544307</v>
      </c>
      <c r="N84" s="197">
        <f t="shared" ca="1" si="14"/>
        <v>363.49666309031136</v>
      </c>
      <c r="O84" s="197">
        <f t="shared" ca="1" si="14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ca="1" si="15"/>
        <v>272.82536543511998</v>
      </c>
      <c r="L86" s="145">
        <f t="shared" ca="1" si="15"/>
        <v>299.64579939490051</v>
      </c>
      <c r="M86" s="145">
        <f t="shared" ca="1" si="15"/>
        <v>329.71966659544307</v>
      </c>
      <c r="N86" s="145">
        <f t="shared" ca="1" si="15"/>
        <v>363.49666309031136</v>
      </c>
      <c r="O86" s="145">
        <f t="shared" ca="1" si="15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71">
        <f ca="1">+K292</f>
        <v>7.2500000000000064E-2</v>
      </c>
      <c r="L89" s="61">
        <f t="shared" ref="L89:O89" ca="1" si="16">+L292</f>
        <v>7.5000000000000067E-2</v>
      </c>
      <c r="M89" s="61">
        <f t="shared" ca="1" si="16"/>
        <v>7.7500000000000069E-2</v>
      </c>
      <c r="N89" s="61">
        <f t="shared" ca="1" si="16"/>
        <v>8.0000000000000071E-2</v>
      </c>
      <c r="O89" s="61">
        <f t="shared" ca="1" si="16"/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71">
        <f ca="1">+K298</f>
        <v>0.44400000000000001</v>
      </c>
      <c r="L90" s="61">
        <f t="shared" ref="L90:O90" ca="1" si="17">+L298</f>
        <v>0.44600000000000001</v>
      </c>
      <c r="M90" s="61">
        <f t="shared" ca="1" si="17"/>
        <v>0.44800000000000001</v>
      </c>
      <c r="N90" s="61">
        <f t="shared" ca="1" si="17"/>
        <v>0.45</v>
      </c>
      <c r="O90" s="61">
        <f t="shared" ca="1" si="17"/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71">
        <f ca="1">+K304</f>
        <v>0.27300000000000002</v>
      </c>
      <c r="L91" s="61">
        <f t="shared" ref="L91:O91" ca="1" si="18">+L304</f>
        <v>0.27150000000000002</v>
      </c>
      <c r="M91" s="61">
        <f t="shared" ca="1" si="18"/>
        <v>0.27</v>
      </c>
      <c r="N91" s="61">
        <f t="shared" ca="1" si="18"/>
        <v>0.26850000000000002</v>
      </c>
      <c r="O91" s="61">
        <f t="shared" ca="1" si="18"/>
        <v>0.26700000000000002</v>
      </c>
    </row>
    <row r="92" spans="2:15" ht="12.95" customHeight="1" x14ac:dyDescent="0.2">
      <c r="B92" s="1" t="s">
        <v>47</v>
      </c>
      <c r="H92" s="63">
        <f t="shared" ref="H92:O92" si="19">+H86/H64</f>
        <v>0.17422744656671477</v>
      </c>
      <c r="I92" s="63">
        <f t="shared" si="19"/>
        <v>0.17956985466122871</v>
      </c>
      <c r="J92" s="64">
        <f t="shared" si="19"/>
        <v>0.18231321346059967</v>
      </c>
      <c r="K92" s="190">
        <f t="shared" ca="1" si="19"/>
        <v>0.18449999999999991</v>
      </c>
      <c r="L92" s="63">
        <f t="shared" ca="1" si="19"/>
        <v>0.18849999999999995</v>
      </c>
      <c r="M92" s="63">
        <f t="shared" ca="1" si="19"/>
        <v>0.19249999999999992</v>
      </c>
      <c r="N92" s="63">
        <f t="shared" ca="1" si="19"/>
        <v>0.19649999999999995</v>
      </c>
      <c r="O92" s="63">
        <f t="shared" ca="1" si="19"/>
        <v>0.20049999999999993</v>
      </c>
    </row>
    <row r="93" spans="2:15" ht="12.95" customHeight="1" x14ac:dyDescent="0.2">
      <c r="B93" s="1" t="s">
        <v>152</v>
      </c>
      <c r="I93" s="63">
        <f t="shared" ref="I93:O93" si="20">+I86/H86-1</f>
        <v>9.7656534505765391E-2</v>
      </c>
      <c r="J93" s="64">
        <f t="shared" si="20"/>
        <v>8.6346807880781418E-2</v>
      </c>
      <c r="K93" s="190">
        <f t="shared" ca="1" si="20"/>
        <v>8.536428185312861E-2</v>
      </c>
      <c r="L93" s="63">
        <f t="shared" ca="1" si="20"/>
        <v>9.8306233062330994E-2</v>
      </c>
      <c r="M93" s="63">
        <f t="shared" ca="1" si="20"/>
        <v>0.10036472148541109</v>
      </c>
      <c r="N93" s="63">
        <f t="shared" ca="1" si="20"/>
        <v>0.10244155844155856</v>
      </c>
      <c r="O93" s="63">
        <f t="shared" ca="1" si="20"/>
        <v>0.10453562340966926</v>
      </c>
    </row>
    <row r="94" spans="2:15" ht="12.95" customHeight="1" x14ac:dyDescent="0.2">
      <c r="B94" s="1" t="s">
        <v>136</v>
      </c>
      <c r="I94" s="63">
        <f t="shared" ref="I94:O94" si="21">+I73/H73-1</f>
        <v>9.493629304598783E-2</v>
      </c>
      <c r="J94" s="64">
        <f t="shared" si="21"/>
        <v>9.896609031254977E-2</v>
      </c>
      <c r="K94" s="190">
        <f t="shared" ca="1" si="21"/>
        <v>0.10050092709384262</v>
      </c>
      <c r="L94" s="63">
        <f t="shared" ca="1" si="21"/>
        <v>0.10208673186613204</v>
      </c>
      <c r="M94" s="63">
        <f t="shared" ca="1" si="21"/>
        <v>0.10371464532762564</v>
      </c>
      <c r="N94" s="63">
        <f t="shared" ca="1" si="21"/>
        <v>0.10538350602884705</v>
      </c>
      <c r="O94" s="63">
        <f t="shared" ca="1" si="21"/>
        <v>0.10709216065073179</v>
      </c>
    </row>
    <row r="95" spans="2:15" ht="12.95" customHeight="1" x14ac:dyDescent="0.2">
      <c r="B95" s="1" t="s">
        <v>137</v>
      </c>
      <c r="I95" s="63">
        <f t="shared" ref="I95:O95" si="22">+I79/H79-1</f>
        <v>9.168733587855793E-2</v>
      </c>
      <c r="J95" s="64">
        <f t="shared" si="22"/>
        <v>9.5564359393159437E-2</v>
      </c>
      <c r="K95" s="190">
        <f t="shared" ca="1" si="22"/>
        <v>9.6983017580305031E-2</v>
      </c>
      <c r="L95" s="63">
        <f t="shared" ca="1" si="22"/>
        <v>9.8454204393300548E-2</v>
      </c>
      <c r="M95" s="63">
        <f t="shared" ca="1" si="22"/>
        <v>9.9979254573818732E-2</v>
      </c>
      <c r="N95" s="63">
        <f t="shared" ca="1" si="22"/>
        <v>0.10155637465118428</v>
      </c>
      <c r="O95" s="63">
        <f t="shared" ca="1" si="22"/>
        <v>0.1031837882103761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3">+H83/H64</f>
        <v>1.0999999999999999E-2</v>
      </c>
      <c r="I97" s="65">
        <f t="shared" si="23"/>
        <v>1.2E-2</v>
      </c>
      <c r="J97" s="167">
        <f t="shared" si="23"/>
        <v>1.2999999999999999E-2</v>
      </c>
      <c r="K97" s="76">
        <f t="shared" ca="1" si="23"/>
        <v>1.35E-2</v>
      </c>
      <c r="L97" s="76">
        <f t="shared" ca="1" si="23"/>
        <v>1.4E-2</v>
      </c>
      <c r="M97" s="76">
        <f t="shared" ca="1" si="23"/>
        <v>1.4500000000000001E-2</v>
      </c>
      <c r="N97" s="76">
        <f t="shared" ca="1" si="23"/>
        <v>1.5000000000000001E-2</v>
      </c>
      <c r="O97" s="76">
        <f t="shared" ca="1" si="2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+J103+K196</f>
        <v>889.03639935826141</v>
      </c>
      <c r="L103" s="118">
        <f ca="1">+K103+L196</f>
        <v>1082.9108464869619</v>
      </c>
      <c r="M103" s="118">
        <f ca="1">+L103+M196</f>
        <v>1297.0592964996938</v>
      </c>
      <c r="N103" s="118">
        <f ca="1">+M103+N196</f>
        <v>1533.9327787126406</v>
      </c>
      <c r="O103" s="118">
        <f ca="1">+N103+O196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 ca="1">+(K150/365)*K145</f>
        <v>121.53930969378332</v>
      </c>
      <c r="L104" s="135">
        <f ca="1">+(L150/365)*L145</f>
        <v>130.65475792081708</v>
      </c>
      <c r="M104" s="135">
        <f ca="1">+(M150/365)*M145</f>
        <v>140.78050165968043</v>
      </c>
      <c r="N104" s="135">
        <f ca="1">+(N150/365)*N145</f>
        <v>152.04294179245485</v>
      </c>
      <c r="O104" s="135">
        <f ca="1">+(O150/365)*O145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 ca="1">+K146/K151</f>
        <v>164.43458339504261</v>
      </c>
      <c r="L105" s="137">
        <f ca="1">+L146/L151</f>
        <v>176.13132399445618</v>
      </c>
      <c r="M105" s="137">
        <f ca="1">+M146/M151</f>
        <v>189.09636982928276</v>
      </c>
      <c r="N105" s="137">
        <f ca="1">+N146/N151</f>
        <v>203.4841370989021</v>
      </c>
      <c r="O105" s="137">
        <f ca="1">+O146/O151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 ca="1">+K152*K145</f>
        <v>38.446934966466785</v>
      </c>
      <c r="L106" s="140">
        <f ca="1">+L152*L145</f>
        <v>41.330455088951801</v>
      </c>
      <c r="M106" s="140">
        <f ca="1">+M152*M145</f>
        <v>44.53356535834557</v>
      </c>
      <c r="N106" s="140">
        <f ca="1">+N152*N145</f>
        <v>48.096250587013216</v>
      </c>
      <c r="O106" s="140">
        <f ca="1">+O152*O145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4">+SUM(H103:H106)</f>
        <v>675.32399663851754</v>
      </c>
      <c r="I107" s="147">
        <f t="shared" si="24"/>
        <v>837.46596294440201</v>
      </c>
      <c r="J107" s="123">
        <f t="shared" si="24"/>
        <v>1016.3200283350651</v>
      </c>
      <c r="K107" s="154">
        <f t="shared" ca="1" si="24"/>
        <v>1213.4572274135542</v>
      </c>
      <c r="L107" s="147">
        <f t="shared" ca="1" si="24"/>
        <v>1431.0273834911868</v>
      </c>
      <c r="M107" s="147">
        <f t="shared" ca="1" si="24"/>
        <v>1671.4697333470026</v>
      </c>
      <c r="N107" s="147">
        <f t="shared" ca="1" si="24"/>
        <v>1937.5561081910107</v>
      </c>
      <c r="O107" s="147">
        <f t="shared" ca="1" si="24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 ca="1">+J109+K131-K133</f>
        <v>7.5793538046166198</v>
      </c>
      <c r="L109" s="136">
        <f ca="1">+K109+L131-L133</f>
        <v>9.1689866926532275</v>
      </c>
      <c r="M109" s="136">
        <f ca="1">+L109+M131-M133</f>
        <v>10.881816129512675</v>
      </c>
      <c r="N109" s="136">
        <f ca="1">+M109+N131-N133</f>
        <v>12.731671921320874</v>
      </c>
      <c r="O109" s="136">
        <f ca="1">+N109+O131-O133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 ca="1">+K153*K145</f>
        <v>59.149130717641221</v>
      </c>
      <c r="L111" s="137">
        <f ca="1">+L153*L145</f>
        <v>63.585315521464317</v>
      </c>
      <c r="M111" s="137">
        <f ca="1">+M153*M145</f>
        <v>68.513177474377812</v>
      </c>
      <c r="N111" s="137">
        <f ca="1">+N153*N145</f>
        <v>73.994231672328041</v>
      </c>
      <c r="O111" s="137">
        <f ca="1">+O153*O145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5">+SUM(H107:H111)</f>
        <v>737.15420182016749</v>
      </c>
      <c r="I112" s="145">
        <f t="shared" si="25"/>
        <v>903.73053547447171</v>
      </c>
      <c r="J112" s="146">
        <f t="shared" si="25"/>
        <v>1087.5713585035742</v>
      </c>
      <c r="K112" s="145">
        <f t="shared" ca="1" si="25"/>
        <v>1290.1857119358119</v>
      </c>
      <c r="L112" s="145">
        <f t="shared" ca="1" si="25"/>
        <v>1513.7816857053044</v>
      </c>
      <c r="M112" s="145">
        <f t="shared" ca="1" si="25"/>
        <v>1760.8647269508929</v>
      </c>
      <c r="N112" s="145">
        <f t="shared" ca="1" si="25"/>
        <v>2034.2820117846595</v>
      </c>
      <c r="O112" s="145">
        <f t="shared" ca="1" si="25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 ca="1">+(K155/365)*K146</f>
        <v>67.575856189743533</v>
      </c>
      <c r="L114" s="137">
        <f ca="1">+(L155/365)*L146</f>
        <v>72.382735888132672</v>
      </c>
      <c r="M114" s="137">
        <f ca="1">+(M155/365)*M146</f>
        <v>77.710836916143606</v>
      </c>
      <c r="N114" s="137">
        <f ca="1">+(N155/365)*N146</f>
        <v>83.623617985850174</v>
      </c>
      <c r="O114" s="137">
        <f ca="1">+(O155/365)*O146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 ca="1">+SUM(K146:K147)*K156</f>
        <v>71.100212579140646</v>
      </c>
      <c r="L115" s="137">
        <f ca="1">+SUM(L146:L147)*L156</f>
        <v>76.110033046304778</v>
      </c>
      <c r="M115" s="137">
        <f ca="1">+SUM(M146:M147)*M156</f>
        <v>81.660856231710923</v>
      </c>
      <c r="N115" s="137">
        <f ca="1">+SUM(N146:N147)*N156</f>
        <v>87.818204004510747</v>
      </c>
      <c r="O115" s="137">
        <f ca="1">+SUM(O146:O147)*O156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 ca="1">+K145*K157</f>
        <v>73.936413397051524</v>
      </c>
      <c r="L116" s="140">
        <f ca="1">+L145*L157</f>
        <v>79.481644401830408</v>
      </c>
      <c r="M116" s="140">
        <f ca="1">+M145*M157</f>
        <v>85.641471842972265</v>
      </c>
      <c r="N116" s="140">
        <f ca="1">+N145*N157</f>
        <v>92.492789590410041</v>
      </c>
      <c r="O116" s="140">
        <f ca="1">+O145*O157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6">SUM(H114:H116)</f>
        <v>175.29699116643044</v>
      </c>
      <c r="I117" s="147">
        <f t="shared" si="26"/>
        <v>186.21789694050051</v>
      </c>
      <c r="J117" s="148">
        <f t="shared" si="26"/>
        <v>198.7466131689653</v>
      </c>
      <c r="K117" s="149">
        <f t="shared" ca="1" si="26"/>
        <v>212.61248216593572</v>
      </c>
      <c r="L117" s="147">
        <f t="shared" ca="1" si="26"/>
        <v>227.97441333626784</v>
      </c>
      <c r="M117" s="147">
        <f t="shared" ca="1" si="26"/>
        <v>245.01316499082679</v>
      </c>
      <c r="N117" s="147">
        <f t="shared" ca="1" si="26"/>
        <v>263.93461158077093</v>
      </c>
      <c r="O117" s="147">
        <f t="shared" ca="1" si="2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 ca="1">+K145*K158</f>
        <v>14.787282679410305</v>
      </c>
      <c r="L119" s="137">
        <f ca="1">+L145*L158</f>
        <v>15.896328880366079</v>
      </c>
      <c r="M119" s="137">
        <f ca="1">+M145*M158</f>
        <v>17.128294368594453</v>
      </c>
      <c r="N119" s="137">
        <f ca="1">+N145*N158</f>
        <v>18.49855791808201</v>
      </c>
      <c r="O119" s="137">
        <f ca="1">+O145*O158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+K231</f>
        <v>0</v>
      </c>
      <c r="L121" s="152">
        <f ca="1">+L231</f>
        <v>0</v>
      </c>
      <c r="M121" s="152">
        <f ca="1">+M231</f>
        <v>0</v>
      </c>
      <c r="N121" s="152">
        <f ca="1">+N231</f>
        <v>0</v>
      </c>
      <c r="O121" s="152">
        <f ca="1">+O231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+K242</f>
        <v>50</v>
      </c>
      <c r="L122" s="153">
        <f>+L242</f>
        <v>50</v>
      </c>
      <c r="M122" s="153">
        <f>+M242</f>
        <v>50</v>
      </c>
      <c r="N122" s="153">
        <f>+N242</f>
        <v>50</v>
      </c>
      <c r="O122" s="153">
        <f>+O242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7">SUM(H121:H122)</f>
        <v>50</v>
      </c>
      <c r="I123" s="154">
        <f t="shared" si="27"/>
        <v>50</v>
      </c>
      <c r="J123" s="123">
        <f t="shared" si="27"/>
        <v>50</v>
      </c>
      <c r="K123" s="154">
        <f t="shared" ca="1" si="27"/>
        <v>50</v>
      </c>
      <c r="L123" s="154">
        <f t="shared" ca="1" si="27"/>
        <v>50</v>
      </c>
      <c r="M123" s="154">
        <f t="shared" ca="1" si="27"/>
        <v>50</v>
      </c>
      <c r="N123" s="154">
        <f t="shared" ca="1" si="27"/>
        <v>50</v>
      </c>
      <c r="O123" s="154">
        <f t="shared" ca="1" si="2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 ca="1">+J125+K135+K136</f>
        <v>166.95493687866619</v>
      </c>
      <c r="L125" s="136">
        <f ca="1">+K125+L135+L136</f>
        <v>178.90020861716587</v>
      </c>
      <c r="M125" s="136">
        <f ca="1">+L125+M135+M136</f>
        <v>191.77123891539929</v>
      </c>
      <c r="N125" s="136">
        <f ca="1">+M125+N135+N136</f>
        <v>205.67195163749136</v>
      </c>
      <c r="O125" s="136">
        <f ca="1">+N125+O135+O136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+J126-K138</f>
        <v>-30</v>
      </c>
      <c r="L126" s="136">
        <f>+K126-L138</f>
        <v>-35</v>
      </c>
      <c r="M126" s="136">
        <f>+L126-M138</f>
        <v>-40</v>
      </c>
      <c r="N126" s="136">
        <f>+M126-N138</f>
        <v>-45</v>
      </c>
      <c r="O126" s="136">
        <f>+N126-O138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+J127+K73-K139</f>
        <v>875.83101021179982</v>
      </c>
      <c r="L127" s="136">
        <f ca="1">+K127+L73-L139</f>
        <v>1076.0107348715044</v>
      </c>
      <c r="M127" s="136">
        <f ca="1">+L127+M73-M139</f>
        <v>1296.9520286760721</v>
      </c>
      <c r="N127" s="136">
        <f ca="1">+M127+N73-N139</f>
        <v>1541.1768906483151</v>
      </c>
      <c r="O127" s="136">
        <f ca="1">+N127+O73-O139</f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8">+SUM(H117,H119,H123,H125:H127)</f>
        <v>737.15420182016749</v>
      </c>
      <c r="I128" s="155">
        <f t="shared" si="28"/>
        <v>903.73053547447182</v>
      </c>
      <c r="J128" s="156">
        <f t="shared" si="28"/>
        <v>1087.5713585035739</v>
      </c>
      <c r="K128" s="155">
        <f t="shared" ca="1" si="28"/>
        <v>1290.1857119358119</v>
      </c>
      <c r="L128" s="155">
        <f t="shared" ca="1" si="28"/>
        <v>1513.7816857053042</v>
      </c>
      <c r="M128" s="155">
        <f t="shared" ca="1" si="28"/>
        <v>1760.8647269508926</v>
      </c>
      <c r="N128" s="155">
        <f t="shared" ca="1" si="28"/>
        <v>2034.2820117846593</v>
      </c>
      <c r="O128" s="155">
        <f t="shared" ca="1" si="28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x14ac:dyDescent="0.2">
      <c r="B130" s="21" t="s">
        <v>44</v>
      </c>
      <c r="H130" s="143"/>
      <c r="I130" s="143"/>
      <c r="J130" s="124"/>
      <c r="K130" s="136"/>
      <c r="L130" s="137"/>
      <c r="M130" s="137"/>
      <c r="N130" s="137"/>
      <c r="O130" s="137"/>
    </row>
    <row r="131" spans="2:15" ht="12.95" customHeight="1" x14ac:dyDescent="0.2">
      <c r="B131" s="417" t="s">
        <v>372</v>
      </c>
      <c r="C131" s="410"/>
      <c r="D131" s="410"/>
      <c r="E131" s="410"/>
      <c r="F131" s="410"/>
      <c r="G131" s="410"/>
      <c r="H131" s="411">
        <v>14.519074537800002</v>
      </c>
      <c r="I131" s="411">
        <v>16.751382247986751</v>
      </c>
      <c r="J131" s="412">
        <v>19.302746621141658</v>
      </c>
      <c r="K131" s="413">
        <f ca="1">+K132*K145</f>
        <v>21.441559885144944</v>
      </c>
      <c r="L131" s="413">
        <f t="shared" ref="L131:O131" ca="1" si="29">+L132*L145</f>
        <v>23.84449332054912</v>
      </c>
      <c r="M131" s="413">
        <f t="shared" ca="1" si="29"/>
        <v>26.548856271321402</v>
      </c>
      <c r="N131" s="413">
        <f t="shared" ca="1" si="29"/>
        <v>29.597692668931213</v>
      </c>
      <c r="O131" s="422">
        <f t="shared" ca="1" si="29"/>
        <v>33.040736761434232</v>
      </c>
    </row>
    <row r="132" spans="2:15" ht="12.95" customHeight="1" x14ac:dyDescent="0.2">
      <c r="B132" s="418" t="s">
        <v>17</v>
      </c>
      <c r="C132" s="401"/>
      <c r="D132" s="401"/>
      <c r="E132" s="401"/>
      <c r="F132" s="401"/>
      <c r="G132" s="401"/>
      <c r="H132" s="405">
        <f>+H131/H145</f>
        <v>1.2E-2</v>
      </c>
      <c r="I132" s="405">
        <f>+I131/I145</f>
        <v>1.3000000000000001E-2</v>
      </c>
      <c r="J132" s="406">
        <f>+J131/J145</f>
        <v>1.4E-2</v>
      </c>
      <c r="K132" s="407">
        <v>1.4500000000000001E-2</v>
      </c>
      <c r="L132" s="408">
        <v>1.5000000000000001E-2</v>
      </c>
      <c r="M132" s="408">
        <v>1.5500000000000002E-2</v>
      </c>
      <c r="N132" s="408">
        <v>1.6E-2</v>
      </c>
      <c r="O132" s="423">
        <v>1.6500000000000001E-2</v>
      </c>
    </row>
    <row r="133" spans="2:15" ht="12.95" customHeight="1" x14ac:dyDescent="0.2">
      <c r="B133" s="419" t="s">
        <v>373</v>
      </c>
      <c r="C133" s="401"/>
      <c r="D133" s="401"/>
      <c r="E133" s="401"/>
      <c r="F133" s="401"/>
      <c r="G133" s="401"/>
      <c r="H133" s="402">
        <v>13.30915165965</v>
      </c>
      <c r="I133" s="402">
        <v>13.30915165965</v>
      </c>
      <c r="J133" s="403">
        <v>13.30915165965</v>
      </c>
      <c r="K133" s="404">
        <f ca="1">+K134*K145</f>
        <v>19.962831617203911</v>
      </c>
      <c r="L133" s="404">
        <f t="shared" ref="L133:O133" ca="1" si="30">+L134*L145</f>
        <v>22.254860432512512</v>
      </c>
      <c r="M133" s="404">
        <f t="shared" ca="1" si="30"/>
        <v>24.836026834461958</v>
      </c>
      <c r="N133" s="404">
        <f t="shared" ca="1" si="30"/>
        <v>27.747836877123014</v>
      </c>
      <c r="O133" s="424">
        <f t="shared" ca="1" si="30"/>
        <v>31.038267866801853</v>
      </c>
    </row>
    <row r="134" spans="2:15" ht="12.95" customHeight="1" x14ac:dyDescent="0.2">
      <c r="B134" s="418" t="s">
        <v>17</v>
      </c>
      <c r="C134" s="401"/>
      <c r="D134" s="401"/>
      <c r="E134" s="401"/>
      <c r="F134" s="401"/>
      <c r="G134" s="401"/>
      <c r="H134" s="405">
        <f>+H133/H145</f>
        <v>1.0999999999999999E-2</v>
      </c>
      <c r="I134" s="405">
        <f>+I133/I145</f>
        <v>1.0328638497652583E-2</v>
      </c>
      <c r="J134" s="406">
        <f>+J133/J145</f>
        <v>9.6529331753762437E-3</v>
      </c>
      <c r="K134" s="407">
        <v>1.35E-2</v>
      </c>
      <c r="L134" s="408">
        <v>1.4E-2</v>
      </c>
      <c r="M134" s="408">
        <v>1.4500000000000001E-2</v>
      </c>
      <c r="N134" s="408">
        <v>1.5000000000000001E-2</v>
      </c>
      <c r="O134" s="423">
        <v>1.5500000000000002E-2</v>
      </c>
    </row>
    <row r="135" spans="2:15" ht="12.95" customHeight="1" x14ac:dyDescent="0.2">
      <c r="B135" s="419" t="s">
        <v>376</v>
      </c>
      <c r="C135" s="401"/>
      <c r="D135" s="401"/>
      <c r="E135" s="401"/>
      <c r="F135" s="401"/>
      <c r="G135" s="401"/>
      <c r="H135" s="402">
        <v>0</v>
      </c>
      <c r="I135" s="402">
        <v>0</v>
      </c>
      <c r="J135" s="403">
        <v>0</v>
      </c>
      <c r="K135" s="409">
        <v>0</v>
      </c>
      <c r="L135" s="409">
        <v>0</v>
      </c>
      <c r="M135" s="409">
        <v>0</v>
      </c>
      <c r="N135" s="409">
        <v>0</v>
      </c>
      <c r="O135" s="403">
        <v>0</v>
      </c>
    </row>
    <row r="136" spans="2:15" ht="12.95" customHeight="1" x14ac:dyDescent="0.2">
      <c r="B136" s="419" t="s">
        <v>377</v>
      </c>
      <c r="C136" s="401"/>
      <c r="D136" s="401"/>
      <c r="E136" s="401"/>
      <c r="F136" s="401"/>
      <c r="G136" s="401"/>
      <c r="H136" s="402">
        <v>9.0919467450000013</v>
      </c>
      <c r="I136" s="402">
        <v>9.6829232834249996</v>
      </c>
      <c r="J136" s="403">
        <v>10.360727913264752</v>
      </c>
      <c r="K136" s="404">
        <f ca="1">+K137*K145</f>
        <v>11.111880686976447</v>
      </c>
      <c r="L136" s="404">
        <f t="shared" ref="L136:O136" ca="1" si="31">+L137*L145</f>
        <v>11.945271738499681</v>
      </c>
      <c r="M136" s="404">
        <f t="shared" ca="1" si="31"/>
        <v>12.871030298233407</v>
      </c>
      <c r="N136" s="404">
        <f t="shared" ca="1" si="31"/>
        <v>13.900712722092081</v>
      </c>
      <c r="O136" s="424">
        <f t="shared" ca="1" si="31"/>
        <v>15.047521521664677</v>
      </c>
    </row>
    <row r="137" spans="2:15" ht="12.95" customHeight="1" x14ac:dyDescent="0.2">
      <c r="B137" s="418" t="s">
        <v>17</v>
      </c>
      <c r="C137" s="401"/>
      <c r="D137" s="401"/>
      <c r="E137" s="401"/>
      <c r="F137" s="401"/>
      <c r="G137" s="401"/>
      <c r="H137" s="405">
        <f>+H136/H145</f>
        <v>7.5144845255771982E-3</v>
      </c>
      <c r="I137" s="405">
        <f>+I136/I145</f>
        <v>7.5144845255771973E-3</v>
      </c>
      <c r="J137" s="406">
        <f>+J136/J145</f>
        <v>7.5144845255771982E-3</v>
      </c>
      <c r="K137" s="407">
        <v>7.5144845255771982E-3</v>
      </c>
      <c r="L137" s="408">
        <v>7.5144845255771982E-3</v>
      </c>
      <c r="M137" s="408">
        <v>7.5144845255771982E-3</v>
      </c>
      <c r="N137" s="408">
        <v>7.5144845255771982E-3</v>
      </c>
      <c r="O137" s="423">
        <v>7.5144845255771982E-3</v>
      </c>
    </row>
    <row r="138" spans="2:15" ht="12.95" customHeight="1" x14ac:dyDescent="0.2">
      <c r="B138" s="420" t="s">
        <v>113</v>
      </c>
      <c r="C138" s="401"/>
      <c r="D138" s="401"/>
      <c r="E138" s="401"/>
      <c r="F138" s="401"/>
      <c r="G138" s="401"/>
      <c r="H138" s="402">
        <v>5</v>
      </c>
      <c r="I138" s="402">
        <v>5</v>
      </c>
      <c r="J138" s="403">
        <v>5</v>
      </c>
      <c r="K138" s="409">
        <v>5</v>
      </c>
      <c r="L138" s="409">
        <v>5</v>
      </c>
      <c r="M138" s="409">
        <v>5</v>
      </c>
      <c r="N138" s="409">
        <v>5</v>
      </c>
      <c r="O138" s="403">
        <v>5</v>
      </c>
    </row>
    <row r="139" spans="2:15" ht="12.95" customHeight="1" x14ac:dyDescent="0.2">
      <c r="B139" s="419" t="s">
        <v>374</v>
      </c>
      <c r="C139" s="401"/>
      <c r="D139" s="401"/>
      <c r="E139" s="401"/>
      <c r="F139" s="401"/>
      <c r="G139" s="401"/>
      <c r="H139" s="402">
        <v>7.2191681345372034</v>
      </c>
      <c r="I139" s="402">
        <v>7.9045291961058837</v>
      </c>
      <c r="J139" s="403">
        <v>8.6868095464058861</v>
      </c>
      <c r="K139" s="404">
        <f ca="1">+K140*K73</f>
        <v>9.5598419593073203</v>
      </c>
      <c r="L139" s="404">
        <f ca="1">+L140*L73</f>
        <v>10.535774982089725</v>
      </c>
      <c r="M139" s="404">
        <f ca="1">+M140*M73</f>
        <v>11.628489147608832</v>
      </c>
      <c r="N139" s="404">
        <f ca="1">+N140*N73</f>
        <v>12.853940103802252</v>
      </c>
      <c r="O139" s="424">
        <f ca="1">+O140*O73</f>
        <v>14.230496322393527</v>
      </c>
    </row>
    <row r="140" spans="2:15" ht="12.95" customHeight="1" x14ac:dyDescent="0.2">
      <c r="B140" s="421" t="s">
        <v>375</v>
      </c>
      <c r="C140" s="414"/>
      <c r="D140" s="414"/>
      <c r="E140" s="414"/>
      <c r="F140" s="414"/>
      <c r="G140" s="414"/>
      <c r="H140" s="415">
        <f>H139/H73</f>
        <v>0.05</v>
      </c>
      <c r="I140" s="415">
        <f>I139/I73</f>
        <v>0.05</v>
      </c>
      <c r="J140" s="416">
        <f>J139/J73</f>
        <v>0.05</v>
      </c>
      <c r="K140" s="415">
        <f>+J140</f>
        <v>0.05</v>
      </c>
      <c r="L140" s="415">
        <f t="shared" ref="L140:O140" si="32">+K140</f>
        <v>0.05</v>
      </c>
      <c r="M140" s="415">
        <f t="shared" si="32"/>
        <v>0.05</v>
      </c>
      <c r="N140" s="415">
        <f t="shared" si="32"/>
        <v>0.05</v>
      </c>
      <c r="O140" s="416">
        <f t="shared" si="32"/>
        <v>0.05</v>
      </c>
    </row>
    <row r="141" spans="2:15" ht="12.95" customHeight="1" x14ac:dyDescent="0.2">
      <c r="H141" s="143"/>
      <c r="I141" s="143"/>
      <c r="J141" s="124"/>
      <c r="K141" s="136"/>
      <c r="L141" s="137"/>
      <c r="M141" s="137"/>
      <c r="N141" s="137"/>
      <c r="O141" s="137"/>
    </row>
    <row r="142" spans="2:15" ht="12.95" hidden="1" customHeight="1" outlineLevel="1" x14ac:dyDescent="0.2">
      <c r="B142" s="1" t="s">
        <v>65</v>
      </c>
      <c r="H142" s="137">
        <f t="shared" ref="H142:O142" si="33">+IF(ABS(H112-H128)&gt;0.001,H112-H128,0)</f>
        <v>0</v>
      </c>
      <c r="I142" s="137">
        <f t="shared" si="33"/>
        <v>0</v>
      </c>
      <c r="J142" s="157">
        <f t="shared" si="33"/>
        <v>0</v>
      </c>
      <c r="K142" s="136">
        <f t="shared" ca="1" si="33"/>
        <v>0</v>
      </c>
      <c r="L142" s="137">
        <f t="shared" ca="1" si="33"/>
        <v>0</v>
      </c>
      <c r="M142" s="137">
        <f t="shared" ca="1" si="33"/>
        <v>0</v>
      </c>
      <c r="N142" s="137">
        <f t="shared" ca="1" si="33"/>
        <v>0</v>
      </c>
      <c r="O142" s="137">
        <f t="shared" ca="1" si="33"/>
        <v>0</v>
      </c>
    </row>
    <row r="143" spans="2:15" ht="12.95" hidden="1" customHeight="1" outlineLevel="1" x14ac:dyDescent="0.2">
      <c r="H143" s="143"/>
      <c r="I143" s="143"/>
      <c r="J143" s="124"/>
      <c r="K143" s="144"/>
      <c r="L143" s="143"/>
      <c r="M143" s="143"/>
      <c r="N143" s="143"/>
      <c r="O143" s="143"/>
    </row>
    <row r="144" spans="2:15" ht="12.95" hidden="1" customHeight="1" outlineLevel="1" x14ac:dyDescent="0.2">
      <c r="B144" s="28" t="s">
        <v>66</v>
      </c>
      <c r="C144" s="20"/>
      <c r="D144" s="20"/>
      <c r="E144" s="20"/>
      <c r="F144" s="20"/>
      <c r="G144" s="20"/>
      <c r="H144" s="158"/>
      <c r="I144" s="158"/>
      <c r="J144" s="159"/>
      <c r="K144" s="158"/>
      <c r="L144" s="158"/>
      <c r="M144" s="158"/>
      <c r="N144" s="158"/>
      <c r="O144" s="158"/>
    </row>
    <row r="145" spans="2:15" ht="12.95" hidden="1" customHeight="1" outlineLevel="1" x14ac:dyDescent="0.2">
      <c r="B145" s="1" t="str">
        <f>+B64</f>
        <v>Revenue</v>
      </c>
      <c r="H145" s="137">
        <f t="shared" ref="H145:O145" si="34">+H64</f>
        <v>1209.9228781500001</v>
      </c>
      <c r="I145" s="137">
        <f t="shared" si="34"/>
        <v>1288.5678652297499</v>
      </c>
      <c r="J145" s="157">
        <f t="shared" si="34"/>
        <v>1378.7676157958326</v>
      </c>
      <c r="K145" s="136">
        <f t="shared" ca="1" si="34"/>
        <v>1478.7282679410305</v>
      </c>
      <c r="L145" s="137">
        <f t="shared" ca="1" si="34"/>
        <v>1589.6328880366079</v>
      </c>
      <c r="M145" s="137">
        <f t="shared" ca="1" si="34"/>
        <v>1712.8294368594452</v>
      </c>
      <c r="N145" s="137">
        <f t="shared" ca="1" si="34"/>
        <v>1849.8557918082008</v>
      </c>
      <c r="O145" s="137">
        <f t="shared" ca="1" si="34"/>
        <v>2002.4688946323774</v>
      </c>
    </row>
    <row r="146" spans="2:15" ht="12.95" hidden="1" customHeight="1" outlineLevel="1" x14ac:dyDescent="0.2">
      <c r="B146" s="1" t="str">
        <f>+B65</f>
        <v>Cost of Goods Sold (Cost of Sales)</v>
      </c>
      <c r="H146" s="137">
        <f t="shared" ref="H146:O146" si="35">-H65</f>
        <v>679.97665752030014</v>
      </c>
      <c r="I146" s="137">
        <f t="shared" si="35"/>
        <v>721.59800452866</v>
      </c>
      <c r="J146" s="157">
        <f t="shared" si="35"/>
        <v>769.35232961407462</v>
      </c>
      <c r="K146" s="136">
        <f t="shared" ca="1" si="35"/>
        <v>822.17291697521307</v>
      </c>
      <c r="L146" s="137">
        <f t="shared" ca="1" si="35"/>
        <v>880.65661997228085</v>
      </c>
      <c r="M146" s="137">
        <f t="shared" ca="1" si="35"/>
        <v>945.48184914641388</v>
      </c>
      <c r="N146" s="137">
        <f t="shared" ca="1" si="35"/>
        <v>1017.4206854945105</v>
      </c>
      <c r="O146" s="137">
        <f t="shared" ca="1" si="35"/>
        <v>1097.3529542585429</v>
      </c>
    </row>
    <row r="147" spans="2:15" ht="12.95" hidden="1" customHeight="1" outlineLevel="1" x14ac:dyDescent="0.2">
      <c r="B147" s="20" t="str">
        <f>+B67</f>
        <v>SG&amp;A</v>
      </c>
      <c r="C147" s="20"/>
      <c r="D147" s="20"/>
      <c r="E147" s="20"/>
      <c r="F147" s="20"/>
      <c r="G147" s="20"/>
      <c r="H147" s="140">
        <f t="shared" ref="H147:O147" si="36">-H67</f>
        <v>335.75359868662508</v>
      </c>
      <c r="I147" s="140">
        <f t="shared" si="36"/>
        <v>355.64473080341099</v>
      </c>
      <c r="J147" s="122">
        <f t="shared" si="36"/>
        <v>378.47171053595611</v>
      </c>
      <c r="K147" s="140">
        <f t="shared" ca="1" si="36"/>
        <v>403.69281714790134</v>
      </c>
      <c r="L147" s="140">
        <f t="shared" ca="1" si="36"/>
        <v>431.58532910193907</v>
      </c>
      <c r="M147" s="140">
        <f t="shared" ca="1" si="36"/>
        <v>462.46394795205021</v>
      </c>
      <c r="N147" s="140">
        <f t="shared" ca="1" si="36"/>
        <v>496.68628010050196</v>
      </c>
      <c r="O147" s="140">
        <f t="shared" ca="1" si="36"/>
        <v>534.65919486684481</v>
      </c>
    </row>
    <row r="148" spans="2:15" ht="12.95" hidden="1" customHeight="1" outlineLevel="1" x14ac:dyDescent="0.2">
      <c r="J148" s="161"/>
      <c r="K148" s="93"/>
    </row>
    <row r="149" spans="2:15" s="21" customFormat="1" ht="12.95" customHeight="1" collapsed="1" x14ac:dyDescent="0.2">
      <c r="B149" s="28" t="s">
        <v>67</v>
      </c>
      <c r="C149" s="28"/>
      <c r="D149" s="28"/>
      <c r="E149" s="28"/>
      <c r="F149" s="28"/>
      <c r="G149" s="28"/>
      <c r="H149" s="28"/>
      <c r="I149" s="28"/>
      <c r="J149" s="162"/>
      <c r="K149" s="28"/>
      <c r="L149" s="28"/>
      <c r="M149" s="28"/>
      <c r="N149" s="28"/>
      <c r="O149" s="28"/>
    </row>
    <row r="150" spans="2:15" ht="12.95" customHeight="1" x14ac:dyDescent="0.2">
      <c r="B150" s="1" t="s">
        <v>68</v>
      </c>
      <c r="H150" s="72">
        <f>+(H104/H145)*365</f>
        <v>30</v>
      </c>
      <c r="I150" s="72">
        <f>+(I104/I145)*365</f>
        <v>30</v>
      </c>
      <c r="J150" s="163">
        <f>+(J104/J145)*365</f>
        <v>30</v>
      </c>
      <c r="K150" s="73">
        <v>30</v>
      </c>
      <c r="L150" s="74">
        <v>30</v>
      </c>
      <c r="M150" s="74">
        <v>30</v>
      </c>
      <c r="N150" s="74">
        <v>30</v>
      </c>
      <c r="O150" s="74">
        <v>30</v>
      </c>
    </row>
    <row r="151" spans="2:15" ht="12.95" customHeight="1" x14ac:dyDescent="0.2">
      <c r="B151" s="1" t="s">
        <v>69</v>
      </c>
      <c r="H151" s="75">
        <f>+H146/H105</f>
        <v>5</v>
      </c>
      <c r="I151" s="75">
        <f>+I146/I105</f>
        <v>5</v>
      </c>
      <c r="J151" s="164">
        <f>+J146/J105</f>
        <v>5</v>
      </c>
      <c r="K151" s="112">
        <v>5</v>
      </c>
      <c r="L151" s="19">
        <v>5</v>
      </c>
      <c r="M151" s="19">
        <v>5</v>
      </c>
      <c r="N151" s="19">
        <v>5</v>
      </c>
      <c r="O151" s="19">
        <v>5</v>
      </c>
    </row>
    <row r="152" spans="2:15" ht="12.95" customHeight="1" x14ac:dyDescent="0.2">
      <c r="B152" s="1" t="s">
        <v>70</v>
      </c>
      <c r="H152" s="61">
        <f>+H106/H145</f>
        <v>2.5999999999999995E-2</v>
      </c>
      <c r="I152" s="61">
        <f>+I106/I145</f>
        <v>2.5999999999999995E-2</v>
      </c>
      <c r="J152" s="62">
        <f>+J106/J145</f>
        <v>2.5999999999999995E-2</v>
      </c>
      <c r="K152" s="113">
        <v>2.5999999999999995E-2</v>
      </c>
      <c r="L152" s="22">
        <v>2.5999999999999995E-2</v>
      </c>
      <c r="M152" s="22">
        <v>2.5999999999999995E-2</v>
      </c>
      <c r="N152" s="22">
        <v>2.5999999999999995E-2</v>
      </c>
      <c r="O152" s="22">
        <v>2.5999999999999995E-2</v>
      </c>
    </row>
    <row r="153" spans="2:15" ht="12.95" customHeight="1" x14ac:dyDescent="0.2">
      <c r="B153" s="1" t="s">
        <v>164</v>
      </c>
      <c r="H153" s="129">
        <f>+H111/H145</f>
        <v>0.04</v>
      </c>
      <c r="I153" s="129">
        <f>+I111/I145</f>
        <v>0.04</v>
      </c>
      <c r="J153" s="165">
        <f>+J111/J145</f>
        <v>0.04</v>
      </c>
      <c r="K153" s="113">
        <v>0.04</v>
      </c>
      <c r="L153" s="22">
        <v>0.04</v>
      </c>
      <c r="M153" s="22">
        <v>0.04</v>
      </c>
      <c r="N153" s="22">
        <v>0.04</v>
      </c>
      <c r="O153" s="22">
        <v>0.04</v>
      </c>
    </row>
    <row r="154" spans="2:15" ht="3" customHeight="1" x14ac:dyDescent="0.2">
      <c r="H154" s="29"/>
      <c r="I154" s="29"/>
      <c r="J154" s="59"/>
      <c r="K154" s="93"/>
    </row>
    <row r="155" spans="2:15" ht="12.95" customHeight="1" x14ac:dyDescent="0.2">
      <c r="B155" s="1" t="s">
        <v>71</v>
      </c>
      <c r="H155" s="72">
        <f>+(H114/H146)*365</f>
        <v>30</v>
      </c>
      <c r="I155" s="72">
        <f>+(I114/I146)*365</f>
        <v>30</v>
      </c>
      <c r="J155" s="166">
        <f>+(J114/J146)*365</f>
        <v>30</v>
      </c>
      <c r="K155" s="114">
        <v>30</v>
      </c>
      <c r="L155" s="74">
        <v>30</v>
      </c>
      <c r="M155" s="74">
        <v>30</v>
      </c>
      <c r="N155" s="74">
        <v>30</v>
      </c>
      <c r="O155" s="74">
        <v>30</v>
      </c>
    </row>
    <row r="156" spans="2:15" ht="12.95" customHeight="1" x14ac:dyDescent="0.2">
      <c r="B156" s="1" t="s">
        <v>72</v>
      </c>
      <c r="H156" s="61">
        <f>+H115/SUM(H146:H147)</f>
        <v>5.800000000000001E-2</v>
      </c>
      <c r="I156" s="61">
        <f>+I115/SUM(I146:I147)</f>
        <v>5.800000000000001E-2</v>
      </c>
      <c r="J156" s="62">
        <f>+J115/SUM(J146:J147)</f>
        <v>5.8000000000000017E-2</v>
      </c>
      <c r="K156" s="113">
        <v>5.800000000000001E-2</v>
      </c>
      <c r="L156" s="22">
        <v>5.800000000000001E-2</v>
      </c>
      <c r="M156" s="22">
        <v>5.800000000000001E-2</v>
      </c>
      <c r="N156" s="22">
        <v>5.800000000000001E-2</v>
      </c>
      <c r="O156" s="22">
        <v>5.800000000000001E-2</v>
      </c>
    </row>
    <row r="157" spans="2:15" ht="12.95" customHeight="1" x14ac:dyDescent="0.2">
      <c r="B157" s="1" t="s">
        <v>73</v>
      </c>
      <c r="H157" s="61">
        <f>+H116/H145</f>
        <v>0.05</v>
      </c>
      <c r="I157" s="61">
        <f>+I116/I145</f>
        <v>0.05</v>
      </c>
      <c r="J157" s="62">
        <f>+J116/J145</f>
        <v>0.05</v>
      </c>
      <c r="K157" s="113">
        <v>0.05</v>
      </c>
      <c r="L157" s="22">
        <v>0.05</v>
      </c>
      <c r="M157" s="22">
        <v>0.05</v>
      </c>
      <c r="N157" s="22">
        <v>0.05</v>
      </c>
      <c r="O157" s="22">
        <v>0.05</v>
      </c>
    </row>
    <row r="158" spans="2:15" ht="12.95" customHeight="1" x14ac:dyDescent="0.2">
      <c r="B158" s="1" t="s">
        <v>163</v>
      </c>
      <c r="H158" s="61">
        <f>+H119/H145</f>
        <v>0.01</v>
      </c>
      <c r="I158" s="61">
        <f>+I119/I145</f>
        <v>0.01</v>
      </c>
      <c r="J158" s="62">
        <f>+J119/J145</f>
        <v>0.01</v>
      </c>
      <c r="K158" s="113">
        <v>0.01</v>
      </c>
      <c r="L158" s="22">
        <v>0.01</v>
      </c>
      <c r="M158" s="22">
        <v>0.01</v>
      </c>
      <c r="N158" s="22">
        <v>0.01</v>
      </c>
      <c r="O158" s="22">
        <v>0.01</v>
      </c>
    </row>
    <row r="159" spans="2:15" ht="3" customHeight="1" x14ac:dyDescent="0.2">
      <c r="J159" s="35"/>
      <c r="K159" s="93"/>
    </row>
    <row r="160" spans="2:15" ht="12.95" customHeight="1" x14ac:dyDescent="0.2">
      <c r="B160" s="1" t="s">
        <v>74</v>
      </c>
      <c r="H160" s="17">
        <f t="shared" ref="H160:O160" si="37">+(H107-H103)-H117</f>
        <v>91.6020511818584</v>
      </c>
      <c r="I160" s="17">
        <f t="shared" si="37"/>
        <v>97.514156014335072</v>
      </c>
      <c r="J160" s="40">
        <f t="shared" si="37"/>
        <v>104.29517644639051</v>
      </c>
      <c r="K160" s="115">
        <f t="shared" ca="1" si="37"/>
        <v>111.80834588935704</v>
      </c>
      <c r="L160" s="17">
        <f t="shared" ca="1" si="37"/>
        <v>120.14212366795709</v>
      </c>
      <c r="M160" s="17">
        <f t="shared" ca="1" si="37"/>
        <v>129.39727185648201</v>
      </c>
      <c r="N160" s="17">
        <f t="shared" ca="1" si="37"/>
        <v>139.68871789759919</v>
      </c>
      <c r="O160" s="17">
        <f t="shared" ca="1" si="37"/>
        <v>151.14772372088953</v>
      </c>
    </row>
    <row r="161" spans="1:15" ht="12.95" customHeight="1" x14ac:dyDescent="0.2">
      <c r="B161" s="20" t="s">
        <v>165</v>
      </c>
      <c r="C161" s="20"/>
      <c r="D161" s="20"/>
      <c r="E161" s="20"/>
      <c r="F161" s="20"/>
      <c r="G161" s="20"/>
      <c r="H161" s="76">
        <f t="shared" ref="H161:O161" si="38">+H160/H145</f>
        <v>7.570900000000004E-2</v>
      </c>
      <c r="I161" s="76">
        <f t="shared" si="38"/>
        <v>7.5676383561643787E-2</v>
      </c>
      <c r="J161" s="167">
        <f t="shared" si="38"/>
        <v>7.5643767123287659E-2</v>
      </c>
      <c r="K161" s="76">
        <f t="shared" ca="1" si="38"/>
        <v>7.5611150684931516E-2</v>
      </c>
      <c r="L161" s="76">
        <f t="shared" ca="1" si="38"/>
        <v>7.5578534246575249E-2</v>
      </c>
      <c r="M161" s="76">
        <f t="shared" ca="1" si="38"/>
        <v>7.554591780821919E-2</v>
      </c>
      <c r="N161" s="76">
        <f t="shared" ca="1" si="38"/>
        <v>7.5513301369862992E-2</v>
      </c>
      <c r="O161" s="76">
        <f t="shared" ca="1" si="38"/>
        <v>7.5480684931506975E-2</v>
      </c>
    </row>
    <row r="162" spans="1:15" ht="12.95" customHeight="1" x14ac:dyDescent="0.2">
      <c r="B162" s="20"/>
      <c r="C162" s="20"/>
      <c r="D162" s="20"/>
      <c r="E162" s="20"/>
      <c r="F162" s="20"/>
      <c r="G162" s="20"/>
      <c r="H162" s="20"/>
      <c r="I162" s="20"/>
      <c r="K162" s="20"/>
      <c r="L162" s="20"/>
      <c r="M162" s="20"/>
      <c r="N162" s="20"/>
      <c r="O162" s="20"/>
    </row>
    <row r="163" spans="1:15" ht="12.95" customHeight="1" x14ac:dyDescent="0.2">
      <c r="A163" s="1" t="s">
        <v>0</v>
      </c>
      <c r="B163" s="26" t="s">
        <v>75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30"/>
    </row>
    <row r="165" spans="1:15" ht="12.95" customHeight="1" x14ac:dyDescent="0.35">
      <c r="I165" s="10"/>
      <c r="J165" s="10"/>
      <c r="K165" s="9" t="str">
        <f>+H101</f>
        <v>Fiscal Year Ended 12/31</v>
      </c>
      <c r="L165" s="10"/>
      <c r="M165" s="10"/>
      <c r="N165" s="10"/>
      <c r="O165" s="10"/>
    </row>
    <row r="166" spans="1:15" ht="12.95" customHeight="1" x14ac:dyDescent="0.2">
      <c r="B166" s="18" t="s">
        <v>76</v>
      </c>
      <c r="K166" s="11">
        <f>+$K$63</f>
        <v>2021</v>
      </c>
      <c r="L166" s="11">
        <f>+$L$63</f>
        <v>2022</v>
      </c>
      <c r="M166" s="11">
        <f>+$M$63</f>
        <v>2023</v>
      </c>
      <c r="N166" s="11">
        <f>+$N$63</f>
        <v>2024</v>
      </c>
      <c r="O166" s="11">
        <f>+$O$63</f>
        <v>2025</v>
      </c>
    </row>
    <row r="167" spans="1:15" ht="12.95" customHeight="1" x14ac:dyDescent="0.2">
      <c r="B167" s="1" t="s">
        <v>39</v>
      </c>
      <c r="H167" s="17"/>
      <c r="I167" s="17"/>
      <c r="J167" s="17"/>
      <c r="K167" s="160">
        <f ca="1">+K73</f>
        <v>191.19683918614641</v>
      </c>
      <c r="L167" s="160">
        <f ca="1">+L73</f>
        <v>210.71549964179448</v>
      </c>
      <c r="M167" s="160">
        <f ca="1">+M73</f>
        <v>232.56978295217664</v>
      </c>
      <c r="N167" s="160">
        <f ca="1">+N73</f>
        <v>257.07880207604501</v>
      </c>
      <c r="O167" s="160">
        <f ca="1">+O73</f>
        <v>284.60992644787052</v>
      </c>
    </row>
    <row r="168" spans="1:15" ht="12.95" customHeight="1" x14ac:dyDescent="0.2">
      <c r="B168" s="1" t="s">
        <v>77</v>
      </c>
      <c r="H168" s="23"/>
      <c r="I168" s="23"/>
      <c r="J168" s="23"/>
      <c r="K168" s="137">
        <f ca="1">+K133</f>
        <v>19.962831617203911</v>
      </c>
      <c r="L168" s="137">
        <f t="shared" ref="L168:O168" ca="1" si="39">+L133</f>
        <v>22.254860432512512</v>
      </c>
      <c r="M168" s="137">
        <f t="shared" ca="1" si="39"/>
        <v>24.836026834461958</v>
      </c>
      <c r="N168" s="137">
        <f t="shared" ca="1" si="39"/>
        <v>27.747836877123014</v>
      </c>
      <c r="O168" s="137">
        <f t="shared" ca="1" si="39"/>
        <v>31.038267866801853</v>
      </c>
    </row>
    <row r="169" spans="1:15" ht="12.95" customHeight="1" x14ac:dyDescent="0.2">
      <c r="B169" s="1" t="s">
        <v>134</v>
      </c>
      <c r="H169" s="23"/>
      <c r="I169" s="23"/>
      <c r="J169" s="23"/>
      <c r="K169" s="137">
        <f ca="1">+K136</f>
        <v>11.111880686976447</v>
      </c>
      <c r="L169" s="137">
        <f t="shared" ref="L169:O169" ca="1" si="40">+L136</f>
        <v>11.945271738499681</v>
      </c>
      <c r="M169" s="137">
        <f t="shared" ca="1" si="40"/>
        <v>12.871030298233407</v>
      </c>
      <c r="N169" s="137">
        <f t="shared" ca="1" si="40"/>
        <v>13.900712722092081</v>
      </c>
      <c r="O169" s="137">
        <f t="shared" ca="1" si="40"/>
        <v>15.047521521664677</v>
      </c>
    </row>
    <row r="170" spans="1:15" ht="12.95" customHeight="1" x14ac:dyDescent="0.2">
      <c r="K170" s="143"/>
      <c r="L170" s="143"/>
      <c r="M170" s="143"/>
      <c r="N170" s="143"/>
      <c r="O170" s="143"/>
    </row>
    <row r="171" spans="1:15" ht="12.95" customHeight="1" x14ac:dyDescent="0.2">
      <c r="B171" s="18" t="s">
        <v>78</v>
      </c>
      <c r="K171" s="143"/>
      <c r="L171" s="143"/>
      <c r="M171" s="143"/>
      <c r="N171" s="143"/>
      <c r="O171" s="143"/>
    </row>
    <row r="172" spans="1:15" ht="12.95" customHeight="1" x14ac:dyDescent="0.2">
      <c r="B172" s="1" t="str">
        <f>+"(Increase) / Decrease in "&amp;B104</f>
        <v>(Increase) / Decrease in Accounts Receivable</v>
      </c>
      <c r="H172" s="23"/>
      <c r="I172" s="23"/>
      <c r="J172" s="23"/>
      <c r="K172" s="137">
        <f t="shared" ref="K172:O174" ca="1" si="41">+(J104-K104)</f>
        <v>-8.2159440119340701</v>
      </c>
      <c r="L172" s="137">
        <f t="shared" ca="1" si="41"/>
        <v>-9.1154482270337525</v>
      </c>
      <c r="M172" s="137">
        <f t="shared" ca="1" si="41"/>
        <v>-10.125743738863349</v>
      </c>
      <c r="N172" s="137">
        <f t="shared" ca="1" si="41"/>
        <v>-11.262440132774429</v>
      </c>
      <c r="O172" s="137">
        <f t="shared" ca="1" si="41"/>
        <v>-12.543542697877541</v>
      </c>
    </row>
    <row r="173" spans="1:15" ht="12.95" customHeight="1" x14ac:dyDescent="0.2">
      <c r="B173" s="1" t="str">
        <f>+"(Increase) / Decrease in "&amp;B105</f>
        <v>(Increase) / Decrease in Inventories</v>
      </c>
      <c r="H173" s="23"/>
      <c r="I173" s="23"/>
      <c r="J173" s="23"/>
      <c r="K173" s="137">
        <f t="shared" ca="1" si="41"/>
        <v>-10.564117472227679</v>
      </c>
      <c r="L173" s="137">
        <f t="shared" ca="1" si="41"/>
        <v>-11.696740599413573</v>
      </c>
      <c r="M173" s="137">
        <f t="shared" ca="1" si="41"/>
        <v>-12.965045834826583</v>
      </c>
      <c r="N173" s="137">
        <f t="shared" ca="1" si="41"/>
        <v>-14.387767269619332</v>
      </c>
      <c r="O173" s="137">
        <f t="shared" ca="1" si="41"/>
        <v>-15.986453752806483</v>
      </c>
    </row>
    <row r="174" spans="1:15" ht="12.95" customHeight="1" x14ac:dyDescent="0.2">
      <c r="B174" s="1" t="str">
        <f>+"(Increase) / Decrease in "&amp;B106</f>
        <v>(Increase) / Decrease in Prepaid Expenses</v>
      </c>
      <c r="H174" s="23"/>
      <c r="I174" s="23"/>
      <c r="J174" s="23"/>
      <c r="K174" s="137">
        <f t="shared" ca="1" si="41"/>
        <v>-2.598976955775143</v>
      </c>
      <c r="L174" s="137">
        <f t="shared" ca="1" si="41"/>
        <v>-2.8835201224850167</v>
      </c>
      <c r="M174" s="137">
        <f t="shared" ca="1" si="41"/>
        <v>-3.2031102693937683</v>
      </c>
      <c r="N174" s="137">
        <f t="shared" ca="1" si="41"/>
        <v>-3.5626852286676467</v>
      </c>
      <c r="O174" s="137">
        <f t="shared" ca="1" si="41"/>
        <v>-3.9679406734285863</v>
      </c>
    </row>
    <row r="175" spans="1:15" ht="12.95" customHeight="1" x14ac:dyDescent="0.2">
      <c r="B175" s="1" t="str">
        <f>+"(Increase) / Decrease in "&amp;B111</f>
        <v>(Increase) / Decrease in Other Long-Term (Operating) Assets</v>
      </c>
      <c r="H175" s="23"/>
      <c r="I175" s="23"/>
      <c r="J175" s="23"/>
      <c r="K175" s="137">
        <f ca="1">+(J111-K111)</f>
        <v>-3.9984260858079139</v>
      </c>
      <c r="L175" s="137">
        <f ca="1">+(K111-L111)</f>
        <v>-4.436184803823096</v>
      </c>
      <c r="M175" s="137">
        <f ca="1">+(L111-M111)</f>
        <v>-4.9278619529134957</v>
      </c>
      <c r="N175" s="137">
        <f ca="1">+(M111-N111)</f>
        <v>-5.481054197950229</v>
      </c>
      <c r="O175" s="137">
        <f ca="1">+(N111-O111)</f>
        <v>-6.1045241129670558</v>
      </c>
    </row>
    <row r="176" spans="1:15" ht="12.95" customHeight="1" x14ac:dyDescent="0.2">
      <c r="B176" s="1" t="str">
        <f>+"Increase / (Decrease) in "&amp;B114</f>
        <v>Increase / (Decrease) in Accounts Payable</v>
      </c>
      <c r="H176" s="23"/>
      <c r="I176" s="23"/>
      <c r="J176" s="23"/>
      <c r="K176" s="137">
        <f t="shared" ref="K176:O178" ca="1" si="42">+K114-J114</f>
        <v>4.3414181392716529</v>
      </c>
      <c r="L176" s="137">
        <f t="shared" ca="1" si="42"/>
        <v>4.8068796983891389</v>
      </c>
      <c r="M176" s="137">
        <f t="shared" ca="1" si="42"/>
        <v>5.3281010280109342</v>
      </c>
      <c r="N176" s="137">
        <f t="shared" ca="1" si="42"/>
        <v>5.9127810697065684</v>
      </c>
      <c r="O176" s="137">
        <f t="shared" ca="1" si="42"/>
        <v>6.5697755148519832</v>
      </c>
    </row>
    <row r="177" spans="2:15" ht="12.95" customHeight="1" x14ac:dyDescent="0.2">
      <c r="B177" s="1" t="str">
        <f>+"Increase / (Decrease) in "&amp;B115</f>
        <v>Increase / (Decrease) in Accrued Liabilities</v>
      </c>
      <c r="H177" s="23"/>
      <c r="I177" s="23"/>
      <c r="J177" s="23"/>
      <c r="K177" s="137">
        <f t="shared" ca="1" si="42"/>
        <v>4.5264182504388515</v>
      </c>
      <c r="L177" s="137">
        <f t="shared" ca="1" si="42"/>
        <v>5.0098204671641327</v>
      </c>
      <c r="M177" s="137">
        <f t="shared" ca="1" si="42"/>
        <v>5.5508231854061449</v>
      </c>
      <c r="N177" s="137">
        <f t="shared" ca="1" si="42"/>
        <v>6.1573477727998238</v>
      </c>
      <c r="O177" s="137">
        <f t="shared" ca="1" si="42"/>
        <v>6.8385006447617513</v>
      </c>
    </row>
    <row r="178" spans="2:15" ht="12.95" customHeight="1" x14ac:dyDescent="0.2">
      <c r="B178" s="1" t="str">
        <f>+"Increase / (Decrease) in "&amp;B116</f>
        <v>Increase / (Decrease) in Deferred Revenue</v>
      </c>
      <c r="H178" s="23"/>
      <c r="I178" s="23"/>
      <c r="J178" s="23"/>
      <c r="K178" s="137">
        <f t="shared" ca="1" si="42"/>
        <v>4.9980326072598871</v>
      </c>
      <c r="L178" s="137">
        <f t="shared" ca="1" si="42"/>
        <v>5.5452310047788842</v>
      </c>
      <c r="M178" s="137">
        <f t="shared" ca="1" si="42"/>
        <v>6.1598274411418572</v>
      </c>
      <c r="N178" s="137">
        <f t="shared" ca="1" si="42"/>
        <v>6.8513177474377756</v>
      </c>
      <c r="O178" s="137">
        <f t="shared" ca="1" si="42"/>
        <v>7.6306551412088339</v>
      </c>
    </row>
    <row r="179" spans="2:15" ht="12.95" customHeight="1" x14ac:dyDescent="0.2">
      <c r="B179" s="20" t="str">
        <f>+"Increase / (Decrease) in "&amp;B119</f>
        <v>Increase / (Decrease) in Other Long-Term (Operating) Liabilities</v>
      </c>
      <c r="C179" s="20"/>
      <c r="D179" s="20"/>
      <c r="E179" s="20"/>
      <c r="F179" s="20"/>
      <c r="G179" s="20"/>
      <c r="H179" s="77"/>
      <c r="I179" s="77"/>
      <c r="J179" s="77"/>
      <c r="K179" s="140">
        <f ca="1">+K119-J119</f>
        <v>0.99960652145197848</v>
      </c>
      <c r="L179" s="140">
        <f ca="1">+L119-K119</f>
        <v>1.109046200955774</v>
      </c>
      <c r="M179" s="140">
        <f ca="1">+M119-L119</f>
        <v>1.2319654882283739</v>
      </c>
      <c r="N179" s="140">
        <f ca="1">+N119-M119</f>
        <v>1.3702635494875572</v>
      </c>
      <c r="O179" s="140">
        <f ca="1">+O119-N119</f>
        <v>1.5261310282417639</v>
      </c>
    </row>
    <row r="180" spans="2:15" ht="12.95" customHeight="1" x14ac:dyDescent="0.2">
      <c r="B180" s="21" t="s">
        <v>79</v>
      </c>
      <c r="C180" s="21"/>
      <c r="D180" s="21"/>
      <c r="E180" s="21"/>
      <c r="F180" s="21"/>
      <c r="G180" s="21"/>
      <c r="H180" s="128"/>
      <c r="I180" s="128"/>
      <c r="J180" s="128"/>
      <c r="K180" s="147">
        <f ca="1">+SUM(K172:K179)</f>
        <v>-10.511989007322436</v>
      </c>
      <c r="L180" s="147">
        <f ca="1">+SUM(L172:L179)</f>
        <v>-11.660916381467509</v>
      </c>
      <c r="M180" s="147">
        <f ca="1">+SUM(M172:M179)</f>
        <v>-12.951044653209886</v>
      </c>
      <c r="N180" s="147">
        <f ca="1">+SUM(N172:N179)</f>
        <v>-14.402236689579912</v>
      </c>
      <c r="O180" s="147">
        <f ca="1">+SUM(O172:O179)</f>
        <v>-16.037398908015334</v>
      </c>
    </row>
    <row r="181" spans="2:15" ht="12.95" customHeight="1" x14ac:dyDescent="0.2">
      <c r="K181" s="143"/>
      <c r="L181" s="143"/>
      <c r="M181" s="143"/>
      <c r="N181" s="143"/>
      <c r="O181" s="143"/>
    </row>
    <row r="182" spans="2:15" s="93" customFormat="1" ht="12.95" customHeight="1" x14ac:dyDescent="0.2">
      <c r="B182" s="16" t="s">
        <v>166</v>
      </c>
      <c r="C182" s="16"/>
      <c r="D182" s="16"/>
      <c r="E182" s="16"/>
      <c r="F182" s="16"/>
      <c r="G182" s="16"/>
      <c r="H182" s="71"/>
      <c r="I182" s="71"/>
      <c r="J182" s="71"/>
      <c r="K182" s="155">
        <f ca="1">+SUM(K167:K169,K180)</f>
        <v>211.75956248300432</v>
      </c>
      <c r="L182" s="155">
        <f ca="1">+SUM(L167:L169,L180)</f>
        <v>233.25471543133918</v>
      </c>
      <c r="M182" s="155">
        <f ca="1">+SUM(M167:M169,M180)</f>
        <v>257.32579543166213</v>
      </c>
      <c r="N182" s="155">
        <f ca="1">+SUM(N167:N169,N180)</f>
        <v>284.32511498568016</v>
      </c>
      <c r="O182" s="155">
        <f ca="1">+SUM(O167:O169,O180)</f>
        <v>314.65831692832171</v>
      </c>
    </row>
    <row r="183" spans="2:15" ht="12.95" customHeight="1" x14ac:dyDescent="0.2">
      <c r="K183" s="143"/>
      <c r="L183" s="143"/>
      <c r="M183" s="143"/>
      <c r="N183" s="143"/>
      <c r="O183" s="143"/>
    </row>
    <row r="184" spans="2:15" ht="12.95" customHeight="1" x14ac:dyDescent="0.2">
      <c r="B184" s="18" t="s">
        <v>80</v>
      </c>
      <c r="K184" s="143"/>
      <c r="L184" s="143"/>
      <c r="M184" s="143"/>
      <c r="N184" s="143"/>
      <c r="O184" s="143"/>
    </row>
    <row r="185" spans="2:15" ht="12.95" customHeight="1" x14ac:dyDescent="0.2">
      <c r="B185" s="1" t="s">
        <v>16</v>
      </c>
      <c r="H185" s="17"/>
      <c r="I185" s="17"/>
      <c r="J185" s="17"/>
      <c r="K185" s="160">
        <f ca="1">-K131</f>
        <v>-21.441559885144944</v>
      </c>
      <c r="L185" s="160">
        <f t="shared" ref="L185:O185" ca="1" si="43">-L131</f>
        <v>-23.84449332054912</v>
      </c>
      <c r="M185" s="160">
        <f t="shared" ca="1" si="43"/>
        <v>-26.548856271321402</v>
      </c>
      <c r="N185" s="160">
        <f t="shared" ca="1" si="43"/>
        <v>-29.597692668931213</v>
      </c>
      <c r="O185" s="160">
        <f t="shared" ca="1" si="43"/>
        <v>-33.040736761434232</v>
      </c>
    </row>
    <row r="186" spans="2:15" s="92" customFormat="1" ht="12.95" customHeight="1" x14ac:dyDescent="0.2">
      <c r="B186" s="16" t="s">
        <v>167</v>
      </c>
      <c r="C186" s="16"/>
      <c r="D186" s="16"/>
      <c r="E186" s="16"/>
      <c r="F186" s="16"/>
      <c r="G186" s="16"/>
      <c r="H186" s="71"/>
      <c r="I186" s="71"/>
      <c r="J186" s="71"/>
      <c r="K186" s="155">
        <f ca="1">SUM(K185)</f>
        <v>-21.441559885144944</v>
      </c>
      <c r="L186" s="155">
        <f ca="1">SUM(L185)</f>
        <v>-23.84449332054912</v>
      </c>
      <c r="M186" s="155">
        <f ca="1">SUM(M185)</f>
        <v>-26.548856271321402</v>
      </c>
      <c r="N186" s="155">
        <f ca="1">SUM(N185)</f>
        <v>-29.597692668931213</v>
      </c>
      <c r="O186" s="155">
        <f ca="1">SUM(O185)</f>
        <v>-33.040736761434232</v>
      </c>
    </row>
    <row r="187" spans="2:15" ht="12.95" customHeight="1" x14ac:dyDescent="0.2">
      <c r="K187" s="143"/>
      <c r="L187" s="143"/>
      <c r="M187" s="143"/>
      <c r="N187" s="143"/>
      <c r="O187" s="143"/>
    </row>
    <row r="188" spans="2:15" ht="12.95" customHeight="1" x14ac:dyDescent="0.2">
      <c r="B188" s="18" t="s">
        <v>81</v>
      </c>
      <c r="K188" s="160"/>
      <c r="L188" s="160"/>
      <c r="M188" s="160"/>
      <c r="N188" s="160"/>
      <c r="O188" s="160"/>
    </row>
    <row r="189" spans="2:15" ht="12.95" customHeight="1" x14ac:dyDescent="0.2">
      <c r="B189" s="1" t="s">
        <v>82</v>
      </c>
      <c r="K189" s="160">
        <f>+K204</f>
        <v>0</v>
      </c>
      <c r="L189" s="160">
        <f t="shared" ref="L189:O189" si="44">+L204</f>
        <v>0</v>
      </c>
      <c r="M189" s="160">
        <f t="shared" si="44"/>
        <v>0</v>
      </c>
      <c r="N189" s="160">
        <f t="shared" si="44"/>
        <v>0</v>
      </c>
      <c r="O189" s="160">
        <f t="shared" si="44"/>
        <v>0</v>
      </c>
    </row>
    <row r="190" spans="2:15" s="93" customFormat="1" ht="12.95" customHeight="1" x14ac:dyDescent="0.2">
      <c r="B190" s="93" t="s">
        <v>156</v>
      </c>
      <c r="K190" s="136">
        <f ca="1">+K222</f>
        <v>0</v>
      </c>
      <c r="L190" s="136">
        <f t="shared" ref="L190:O190" ca="1" si="45">+L222</f>
        <v>0</v>
      </c>
      <c r="M190" s="136">
        <f t="shared" ca="1" si="45"/>
        <v>0</v>
      </c>
      <c r="N190" s="136">
        <f t="shared" ca="1" si="45"/>
        <v>0</v>
      </c>
      <c r="O190" s="136">
        <f t="shared" ca="1" si="45"/>
        <v>0</v>
      </c>
    </row>
    <row r="191" spans="2:15" s="93" customFormat="1" ht="12.95" customHeight="1" x14ac:dyDescent="0.2">
      <c r="B191" s="93" t="s">
        <v>112</v>
      </c>
      <c r="K191" s="136">
        <f t="shared" ref="K191:O193" si="46">+K210</f>
        <v>0</v>
      </c>
      <c r="L191" s="136">
        <f t="shared" si="46"/>
        <v>0</v>
      </c>
      <c r="M191" s="136">
        <f t="shared" si="46"/>
        <v>0</v>
      </c>
      <c r="N191" s="136">
        <f t="shared" si="46"/>
        <v>0</v>
      </c>
      <c r="O191" s="136">
        <f t="shared" si="46"/>
        <v>0</v>
      </c>
    </row>
    <row r="192" spans="2:15" s="93" customFormat="1" ht="12.95" customHeight="1" x14ac:dyDescent="0.2">
      <c r="B192" s="93" t="s">
        <v>113</v>
      </c>
      <c r="K192" s="136">
        <f t="shared" si="46"/>
        <v>-5</v>
      </c>
      <c r="L192" s="136">
        <f t="shared" si="46"/>
        <v>-5</v>
      </c>
      <c r="M192" s="136">
        <f t="shared" si="46"/>
        <v>-5</v>
      </c>
      <c r="N192" s="136">
        <f t="shared" si="46"/>
        <v>-5</v>
      </c>
      <c r="O192" s="136">
        <f t="shared" si="46"/>
        <v>-5</v>
      </c>
    </row>
    <row r="193" spans="1:20" ht="12.95" customHeight="1" x14ac:dyDescent="0.2">
      <c r="B193" s="93" t="s">
        <v>114</v>
      </c>
      <c r="C193" s="93"/>
      <c r="D193" s="93"/>
      <c r="E193" s="93"/>
      <c r="F193" s="93"/>
      <c r="G193" s="93"/>
      <c r="H193" s="93"/>
      <c r="I193" s="93"/>
      <c r="J193" s="93"/>
      <c r="K193" s="136">
        <f t="shared" ca="1" si="46"/>
        <v>-9.5598419593073203</v>
      </c>
      <c r="L193" s="136">
        <f t="shared" ca="1" si="46"/>
        <v>-10.535774982089725</v>
      </c>
      <c r="M193" s="136">
        <f t="shared" ca="1" si="46"/>
        <v>-11.628489147608832</v>
      </c>
      <c r="N193" s="136">
        <f t="shared" ca="1" si="46"/>
        <v>-12.853940103802252</v>
      </c>
      <c r="O193" s="136">
        <f t="shared" ca="1" si="46"/>
        <v>-14.230496322393527</v>
      </c>
    </row>
    <row r="194" spans="1:20" s="21" customFormat="1" ht="12.95" customHeight="1" x14ac:dyDescent="0.2">
      <c r="B194" s="256" t="s">
        <v>168</v>
      </c>
      <c r="C194" s="256"/>
      <c r="D194" s="256"/>
      <c r="E194" s="256"/>
      <c r="F194" s="256"/>
      <c r="G194" s="256"/>
      <c r="H194" s="257"/>
      <c r="I194" s="257"/>
      <c r="J194" s="257"/>
      <c r="K194" s="257">
        <f ca="1">+SUM(K189:K193)</f>
        <v>-14.55984195930732</v>
      </c>
      <c r="L194" s="257">
        <f ca="1">+SUM(L189:L193)</f>
        <v>-15.535774982089725</v>
      </c>
      <c r="M194" s="257">
        <f ca="1">+SUM(M189:M193)</f>
        <v>-16.628489147608832</v>
      </c>
      <c r="N194" s="257">
        <f ca="1">+SUM(N189:N193)</f>
        <v>-17.853940103802252</v>
      </c>
      <c r="O194" s="257">
        <f ca="1">+SUM(O189:O193)</f>
        <v>-19.230496322393527</v>
      </c>
      <c r="T194" s="1"/>
    </row>
    <row r="195" spans="1:20" ht="12.95" customHeight="1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158"/>
      <c r="L195" s="158"/>
      <c r="M195" s="158"/>
      <c r="N195" s="158"/>
      <c r="O195" s="158"/>
      <c r="T195" s="92"/>
    </row>
    <row r="196" spans="1:20" s="93" customFormat="1" ht="12.95" customHeight="1" x14ac:dyDescent="0.2">
      <c r="B196" s="16" t="s">
        <v>83</v>
      </c>
      <c r="C196" s="16"/>
      <c r="D196" s="16"/>
      <c r="E196" s="16"/>
      <c r="F196" s="16"/>
      <c r="G196" s="16"/>
      <c r="H196" s="71"/>
      <c r="I196" s="71"/>
      <c r="J196" s="71"/>
      <c r="K196" s="155">
        <f ca="1">+K182+K186+K194</f>
        <v>175.75816063855206</v>
      </c>
      <c r="L196" s="155">
        <f ca="1">+L182+L186+L194</f>
        <v>193.87444712870035</v>
      </c>
      <c r="M196" s="155">
        <f ca="1">+M182+M186+M194</f>
        <v>214.1484500127319</v>
      </c>
      <c r="N196" s="155">
        <f ca="1">+N182+N186+N194</f>
        <v>236.8734822129467</v>
      </c>
      <c r="O196" s="155">
        <f ca="1">+O182+O186+O194</f>
        <v>262.38708384449393</v>
      </c>
      <c r="T196" s="92"/>
    </row>
    <row r="197" spans="1:20" ht="12.95" customHeight="1" x14ac:dyDescent="0.2">
      <c r="T197" s="92"/>
    </row>
    <row r="198" spans="1:20" ht="12.95" customHeight="1" x14ac:dyDescent="0.2">
      <c r="A198" s="1" t="s">
        <v>0</v>
      </c>
      <c r="B198" s="26" t="s">
        <v>84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30"/>
      <c r="T198" s="92"/>
    </row>
    <row r="200" spans="1:20" ht="12.95" customHeight="1" x14ac:dyDescent="0.35">
      <c r="K200" s="9" t="str">
        <f>+K165</f>
        <v>Fiscal Year Ended 12/31</v>
      </c>
      <c r="L200" s="10"/>
      <c r="M200" s="10"/>
      <c r="N200" s="10"/>
      <c r="O200" s="10"/>
    </row>
    <row r="201" spans="1:20" ht="12.95" customHeight="1" x14ac:dyDescent="0.2">
      <c r="K201" s="11">
        <f>+$K$63</f>
        <v>2021</v>
      </c>
      <c r="L201" s="11">
        <f>+$L$63</f>
        <v>2022</v>
      </c>
      <c r="M201" s="11">
        <f>+$M$63</f>
        <v>2023</v>
      </c>
      <c r="N201" s="11">
        <f>+$N$63</f>
        <v>2024</v>
      </c>
      <c r="O201" s="11">
        <f>+$O$63</f>
        <v>2025</v>
      </c>
    </row>
    <row r="202" spans="1:20" ht="12.95" customHeight="1" x14ac:dyDescent="0.2">
      <c r="B202" s="18" t="s">
        <v>85</v>
      </c>
    </row>
    <row r="203" spans="1:20" ht="12.95" customHeight="1" x14ac:dyDescent="0.2">
      <c r="B203" s="158" t="str">
        <f>+B122</f>
        <v>Long-Term Debt</v>
      </c>
      <c r="C203" s="20"/>
      <c r="D203" s="20"/>
      <c r="E203" s="20"/>
      <c r="F203" s="20"/>
      <c r="G203" s="20"/>
      <c r="H203" s="20"/>
      <c r="I203" s="20"/>
      <c r="J203" s="20"/>
      <c r="K203" s="170">
        <f>+K241</f>
        <v>0</v>
      </c>
      <c r="L203" s="170">
        <f>+L241</f>
        <v>0</v>
      </c>
      <c r="M203" s="170">
        <f>+M241</f>
        <v>0</v>
      </c>
      <c r="N203" s="170">
        <f>+N241</f>
        <v>0</v>
      </c>
      <c r="O203" s="170">
        <f>+O241</f>
        <v>0</v>
      </c>
    </row>
    <row r="204" spans="1:20" s="21" customFormat="1" ht="12.95" customHeight="1" x14ac:dyDescent="0.2">
      <c r="B204" s="21" t="s">
        <v>86</v>
      </c>
      <c r="H204" s="78"/>
      <c r="I204" s="78"/>
      <c r="J204" s="78"/>
      <c r="K204" s="147">
        <f>+SUM(K203)</f>
        <v>0</v>
      </c>
      <c r="L204" s="147">
        <f>+SUM(L203)</f>
        <v>0</v>
      </c>
      <c r="M204" s="147">
        <f>+SUM(M203)</f>
        <v>0</v>
      </c>
      <c r="N204" s="147">
        <f>+SUM(N203)</f>
        <v>0</v>
      </c>
      <c r="O204" s="147">
        <f>+SUM(O203)</f>
        <v>0</v>
      </c>
    </row>
    <row r="206" spans="1:20" ht="12.95" customHeight="1" x14ac:dyDescent="0.2">
      <c r="B206" s="18" t="s">
        <v>326</v>
      </c>
    </row>
    <row r="207" spans="1:20" ht="12.95" customHeight="1" x14ac:dyDescent="0.2">
      <c r="B207" s="1" t="s">
        <v>87</v>
      </c>
      <c r="K207" s="160">
        <f ca="1">+K182+K186</f>
        <v>190.31800259785936</v>
      </c>
      <c r="L207" s="160">
        <f ca="1">+L182+L186</f>
        <v>209.41022211079007</v>
      </c>
      <c r="M207" s="160">
        <f ca="1">+M182+M186</f>
        <v>230.77693916034073</v>
      </c>
      <c r="N207" s="160">
        <f ca="1">+N182+N186</f>
        <v>254.72742231674894</v>
      </c>
      <c r="O207" s="160">
        <f ca="1">+O182+O186</f>
        <v>281.61758016688748</v>
      </c>
    </row>
    <row r="208" spans="1:20" ht="12.95" customHeight="1" x14ac:dyDescent="0.2">
      <c r="B208" s="1" t="s">
        <v>88</v>
      </c>
      <c r="K208" s="137">
        <f>+K204</f>
        <v>0</v>
      </c>
      <c r="L208" s="137">
        <f>+L204</f>
        <v>0</v>
      </c>
      <c r="M208" s="137">
        <f>+M204</f>
        <v>0</v>
      </c>
      <c r="N208" s="137">
        <f>+N204</f>
        <v>0</v>
      </c>
      <c r="O208" s="137">
        <f>+O204</f>
        <v>0</v>
      </c>
    </row>
    <row r="209" spans="1:15" s="92" customFormat="1" ht="12.95" customHeight="1" x14ac:dyDescent="0.2">
      <c r="B209" s="16" t="s">
        <v>323</v>
      </c>
      <c r="C209" s="16"/>
      <c r="D209" s="16"/>
      <c r="E209" s="16"/>
      <c r="F209" s="16"/>
      <c r="G209" s="16"/>
      <c r="H209" s="16"/>
      <c r="I209" s="16"/>
      <c r="J209" s="16"/>
      <c r="K209" s="155">
        <f ca="1">SUM(K207:K208)</f>
        <v>190.31800259785936</v>
      </c>
      <c r="L209" s="155">
        <f ca="1">SUM(L207:L208)</f>
        <v>209.41022211079007</v>
      </c>
      <c r="M209" s="155">
        <f ca="1">SUM(M207:M208)</f>
        <v>230.77693916034073</v>
      </c>
      <c r="N209" s="155">
        <f ca="1">SUM(N207:N208)</f>
        <v>254.72742231674894</v>
      </c>
      <c r="O209" s="155">
        <f ca="1">SUM(O207:O208)</f>
        <v>281.61758016688748</v>
      </c>
    </row>
    <row r="210" spans="1:15" ht="12.95" customHeight="1" x14ac:dyDescent="0.2">
      <c r="B210" s="1" t="s">
        <v>115</v>
      </c>
      <c r="K210" s="171">
        <f>+K135</f>
        <v>0</v>
      </c>
      <c r="L210" s="171">
        <f t="shared" ref="L210:O210" si="47">+L135</f>
        <v>0</v>
      </c>
      <c r="M210" s="171">
        <f t="shared" si="47"/>
        <v>0</v>
      </c>
      <c r="N210" s="171">
        <f t="shared" si="47"/>
        <v>0</v>
      </c>
      <c r="O210" s="171">
        <f t="shared" si="47"/>
        <v>0</v>
      </c>
    </row>
    <row r="211" spans="1:15" ht="12.95" customHeight="1" x14ac:dyDescent="0.2">
      <c r="B211" s="1" t="s">
        <v>116</v>
      </c>
      <c r="K211" s="171">
        <f>-K138</f>
        <v>-5</v>
      </c>
      <c r="L211" s="171">
        <f t="shared" ref="L211:O211" si="48">-L138</f>
        <v>-5</v>
      </c>
      <c r="M211" s="171">
        <f t="shared" si="48"/>
        <v>-5</v>
      </c>
      <c r="N211" s="171">
        <f t="shared" si="48"/>
        <v>-5</v>
      </c>
      <c r="O211" s="171">
        <f t="shared" si="48"/>
        <v>-5</v>
      </c>
    </row>
    <row r="212" spans="1:15" ht="12.95" customHeight="1" x14ac:dyDescent="0.2">
      <c r="B212" s="20" t="s">
        <v>117</v>
      </c>
      <c r="C212" s="20"/>
      <c r="D212" s="20"/>
      <c r="E212" s="20"/>
      <c r="F212" s="20"/>
      <c r="G212" s="20"/>
      <c r="H212" s="20"/>
      <c r="I212" s="20"/>
      <c r="J212" s="20"/>
      <c r="K212" s="172">
        <f ca="1">-K139</f>
        <v>-9.5598419593073203</v>
      </c>
      <c r="L212" s="172">
        <f t="shared" ref="L212:O212" ca="1" si="49">-L139</f>
        <v>-10.535774982089725</v>
      </c>
      <c r="M212" s="172">
        <f t="shared" ca="1" si="49"/>
        <v>-11.628489147608832</v>
      </c>
      <c r="N212" s="172">
        <f t="shared" ca="1" si="49"/>
        <v>-12.853940103802252</v>
      </c>
      <c r="O212" s="172">
        <f t="shared" ca="1" si="49"/>
        <v>-14.230496322393527</v>
      </c>
    </row>
    <row r="213" spans="1:15" s="21" customFormat="1" ht="12.95" customHeight="1" x14ac:dyDescent="0.2">
      <c r="B213" s="21" t="s">
        <v>324</v>
      </c>
      <c r="C213" s="92"/>
      <c r="D213" s="92"/>
      <c r="E213" s="92"/>
      <c r="F213" s="92"/>
      <c r="G213" s="92"/>
      <c r="H213" s="92"/>
      <c r="I213" s="92"/>
      <c r="J213" s="92"/>
      <c r="K213" s="94">
        <f ca="1">+SUM(K209:K212)</f>
        <v>175.75816063855206</v>
      </c>
      <c r="L213" s="94">
        <f ca="1">+SUM(L209:L212)</f>
        <v>193.87444712870035</v>
      </c>
      <c r="M213" s="94">
        <f ca="1">+SUM(M209:M212)</f>
        <v>214.1484500127319</v>
      </c>
      <c r="N213" s="94">
        <f ca="1">+SUM(N209:N212)</f>
        <v>236.8734822129467</v>
      </c>
      <c r="O213" s="94">
        <f ca="1">+SUM(O209:O212)</f>
        <v>262.38708384449393</v>
      </c>
    </row>
    <row r="215" spans="1:15" ht="12.95" customHeight="1" x14ac:dyDescent="0.2">
      <c r="B215" s="1" t="s">
        <v>89</v>
      </c>
      <c r="H215" s="23"/>
      <c r="I215" s="23"/>
      <c r="J215" s="23"/>
      <c r="K215" s="160">
        <f>+J103</f>
        <v>713.27823871970929</v>
      </c>
      <c r="L215" s="160">
        <f ca="1">+K103</f>
        <v>889.03639935826141</v>
      </c>
      <c r="M215" s="160">
        <f ca="1">+L103</f>
        <v>1082.9108464869619</v>
      </c>
      <c r="N215" s="160">
        <f ca="1">+M103</f>
        <v>1297.0592964996938</v>
      </c>
      <c r="O215" s="160">
        <f ca="1">+N103</f>
        <v>1533.9327787126406</v>
      </c>
    </row>
    <row r="216" spans="1:15" ht="12.95" customHeight="1" x14ac:dyDescent="0.2">
      <c r="B216" s="1" t="s">
        <v>90</v>
      </c>
      <c r="H216" s="23"/>
      <c r="I216" s="23"/>
      <c r="J216" s="23"/>
      <c r="K216" s="137">
        <f>-$E$6</f>
        <v>-5</v>
      </c>
      <c r="L216" s="137">
        <f>-$E$6</f>
        <v>-5</v>
      </c>
      <c r="M216" s="137">
        <f>-$E$6</f>
        <v>-5</v>
      </c>
      <c r="N216" s="137">
        <f>-$E$6</f>
        <v>-5</v>
      </c>
      <c r="O216" s="137">
        <f>-$E$6</f>
        <v>-5</v>
      </c>
    </row>
    <row r="217" spans="1:15" ht="12.95" customHeight="1" x14ac:dyDescent="0.2">
      <c r="B217" s="1" t="s">
        <v>325</v>
      </c>
      <c r="H217" s="23"/>
      <c r="I217" s="23"/>
      <c r="J217" s="23"/>
      <c r="K217" s="137">
        <f ca="1">+K213</f>
        <v>175.75816063855206</v>
      </c>
      <c r="L217" s="137">
        <f ca="1">+L213</f>
        <v>193.87444712870035</v>
      </c>
      <c r="M217" s="137">
        <f ca="1">+M213</f>
        <v>214.1484500127319</v>
      </c>
      <c r="N217" s="137">
        <f ca="1">+N213</f>
        <v>236.8734822129467</v>
      </c>
      <c r="O217" s="137">
        <f ca="1">+O213</f>
        <v>262.38708384449393</v>
      </c>
    </row>
    <row r="218" spans="1:15" s="92" customFormat="1" ht="12.95" customHeight="1" x14ac:dyDescent="0.2">
      <c r="B218" s="16" t="s">
        <v>91</v>
      </c>
      <c r="C218" s="16"/>
      <c r="D218" s="16"/>
      <c r="E218" s="16"/>
      <c r="F218" s="16"/>
      <c r="G218" s="16"/>
      <c r="H218" s="71"/>
      <c r="I218" s="71"/>
      <c r="J218" s="71"/>
      <c r="K218" s="155">
        <f ca="1">SUM(K215:K217)</f>
        <v>884.03639935826141</v>
      </c>
      <c r="L218" s="155">
        <f ca="1">SUM(L215:L217)</f>
        <v>1077.9108464869619</v>
      </c>
      <c r="M218" s="155">
        <f ca="1">SUM(M215:M217)</f>
        <v>1292.0592964996938</v>
      </c>
      <c r="N218" s="155">
        <f ca="1">SUM(N215:N217)</f>
        <v>1528.9327787126406</v>
      </c>
      <c r="O218" s="155">
        <f ca="1">SUM(O215:O217)</f>
        <v>1791.3198625571345</v>
      </c>
    </row>
    <row r="220" spans="1:15" s="21" customFormat="1" ht="12.95" customHeight="1" x14ac:dyDescent="0.2">
      <c r="B220" s="18" t="s">
        <v>154</v>
      </c>
    </row>
    <row r="221" spans="1:15" ht="12.95" customHeight="1" x14ac:dyDescent="0.2">
      <c r="B221" s="158" t="str">
        <f>+B121</f>
        <v>Revolving Credit Facility</v>
      </c>
      <c r="C221" s="20"/>
      <c r="D221" s="20"/>
      <c r="E221" s="20"/>
      <c r="F221" s="20"/>
      <c r="G221" s="20"/>
      <c r="H221" s="20"/>
      <c r="I221" s="20"/>
      <c r="J221" s="20"/>
      <c r="K221" s="140">
        <f ca="1">+K230</f>
        <v>0</v>
      </c>
      <c r="L221" s="140">
        <f ca="1">+L230</f>
        <v>0</v>
      </c>
      <c r="M221" s="140">
        <f ca="1">+M230</f>
        <v>0</v>
      </c>
      <c r="N221" s="140">
        <f ca="1">+N230</f>
        <v>0</v>
      </c>
      <c r="O221" s="140">
        <f ca="1">+O230</f>
        <v>0</v>
      </c>
    </row>
    <row r="222" spans="1:15" s="21" customFormat="1" ht="12.95" customHeight="1" x14ac:dyDescent="0.2">
      <c r="B222" s="92" t="s">
        <v>155</v>
      </c>
      <c r="C222" s="92"/>
      <c r="D222" s="92"/>
      <c r="E222" s="92"/>
      <c r="F222" s="92"/>
      <c r="G222" s="92"/>
      <c r="H222" s="92"/>
      <c r="I222" s="92"/>
      <c r="J222" s="92"/>
      <c r="K222" s="154">
        <f ca="1">SUM(K221:K221)</f>
        <v>0</v>
      </c>
      <c r="L222" s="154">
        <f ca="1">SUM(L221:L221)</f>
        <v>0</v>
      </c>
      <c r="M222" s="154">
        <f ca="1">SUM(M221:M221)</f>
        <v>0</v>
      </c>
      <c r="N222" s="154">
        <f ca="1">SUM(N221:N221)</f>
        <v>0</v>
      </c>
      <c r="O222" s="154">
        <f ca="1">SUM(O221:O221)</f>
        <v>0</v>
      </c>
    </row>
    <row r="224" spans="1:15" ht="12.95" customHeight="1" x14ac:dyDescent="0.2">
      <c r="A224" s="1" t="s">
        <v>0</v>
      </c>
      <c r="B224" s="26" t="s">
        <v>92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30"/>
    </row>
    <row r="226" spans="2:15" ht="12.95" customHeight="1" x14ac:dyDescent="0.35">
      <c r="K226" s="9" t="str">
        <f>+K200</f>
        <v>Fiscal Year Ended 12/31</v>
      </c>
      <c r="L226" s="10"/>
      <c r="M226" s="10"/>
      <c r="N226" s="10"/>
      <c r="O226" s="10"/>
    </row>
    <row r="227" spans="2:15" ht="12.95" customHeight="1" x14ac:dyDescent="0.2">
      <c r="K227" s="11">
        <f>+$K$63</f>
        <v>2021</v>
      </c>
      <c r="L227" s="11">
        <f>+$L$63</f>
        <v>2022</v>
      </c>
      <c r="M227" s="11">
        <f>+$M$63</f>
        <v>2023</v>
      </c>
      <c r="N227" s="11">
        <f>+$N$63</f>
        <v>2024</v>
      </c>
      <c r="O227" s="11">
        <f>+$O$63</f>
        <v>2025</v>
      </c>
    </row>
    <row r="228" spans="2:15" ht="12.95" customHeight="1" x14ac:dyDescent="0.2">
      <c r="B228" s="174" t="str">
        <f>+B221</f>
        <v>Revolving Credit Facility</v>
      </c>
      <c r="C228" s="20"/>
      <c r="D228" s="20"/>
      <c r="E228" s="20"/>
      <c r="F228" s="20"/>
      <c r="G228" s="20"/>
      <c r="H228" s="20"/>
      <c r="I228" s="20"/>
      <c r="J228" s="20"/>
      <c r="K228" s="93"/>
      <c r="L228" s="20"/>
      <c r="M228" s="20"/>
      <c r="N228" s="20"/>
      <c r="O228" s="20"/>
    </row>
    <row r="229" spans="2:15" ht="12.95" customHeight="1" x14ac:dyDescent="0.2">
      <c r="B229" s="1" t="s">
        <v>93</v>
      </c>
      <c r="K229" s="118">
        <f>+J121</f>
        <v>0</v>
      </c>
      <c r="L229" s="160">
        <f ca="1">+K231</f>
        <v>0</v>
      </c>
      <c r="M229" s="160">
        <f ca="1">+L231</f>
        <v>0</v>
      </c>
      <c r="N229" s="160">
        <f ca="1">+M231</f>
        <v>0</v>
      </c>
      <c r="O229" s="160">
        <f ca="1">+N231</f>
        <v>0</v>
      </c>
    </row>
    <row r="230" spans="2:15" ht="12.95" customHeight="1" x14ac:dyDescent="0.2">
      <c r="B230" s="20" t="s">
        <v>94</v>
      </c>
      <c r="C230" s="20"/>
      <c r="D230" s="20"/>
      <c r="E230" s="20"/>
      <c r="F230" s="20"/>
      <c r="G230" s="20"/>
      <c r="H230" s="20"/>
      <c r="I230" s="20"/>
      <c r="J230" s="20"/>
      <c r="K230" s="140">
        <f ca="1">-MIN(K229,K218)</f>
        <v>0</v>
      </c>
      <c r="L230" s="140">
        <f ca="1">-MIN(L229,L218)</f>
        <v>0</v>
      </c>
      <c r="M230" s="140">
        <f ca="1">-MIN(M229,M218)</f>
        <v>0</v>
      </c>
      <c r="N230" s="140">
        <f ca="1">-MIN(N229,N218)</f>
        <v>0</v>
      </c>
      <c r="O230" s="140">
        <f ca="1">-MIN(O229,O218)</f>
        <v>0</v>
      </c>
    </row>
    <row r="231" spans="2:15" ht="12.95" customHeight="1" x14ac:dyDescent="0.2">
      <c r="B231" s="21" t="s">
        <v>95</v>
      </c>
      <c r="C231" s="21"/>
      <c r="D231" s="21"/>
      <c r="E231" s="21"/>
      <c r="F231" s="21"/>
      <c r="G231" s="21"/>
      <c r="H231" s="21"/>
      <c r="I231" s="21"/>
      <c r="J231" s="21"/>
      <c r="K231" s="147">
        <f ca="1">SUM(K229:K230)</f>
        <v>0</v>
      </c>
      <c r="L231" s="147">
        <f ca="1">SUM(L229:L230)</f>
        <v>0</v>
      </c>
      <c r="M231" s="147">
        <f ca="1">SUM(M229:M230)</f>
        <v>0</v>
      </c>
      <c r="N231" s="147">
        <f ca="1">SUM(N229:N230)</f>
        <v>0</v>
      </c>
      <c r="O231" s="147">
        <f ca="1">SUM(O229:O230)</f>
        <v>0</v>
      </c>
    </row>
    <row r="232" spans="2:15" ht="12.95" customHeight="1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175"/>
      <c r="L232" s="175"/>
      <c r="M232" s="175"/>
      <c r="N232" s="175"/>
      <c r="O232" s="175"/>
    </row>
    <row r="233" spans="2:15" ht="12.95" customHeight="1" x14ac:dyDescent="0.25">
      <c r="B233" s="1" t="s">
        <v>96</v>
      </c>
      <c r="G233" s="1" t="s">
        <v>169</v>
      </c>
      <c r="H233"/>
      <c r="I233" s="299">
        <v>50</v>
      </c>
      <c r="K233" s="137">
        <f ca="1">+AVERAGE(K229,K231)</f>
        <v>0</v>
      </c>
      <c r="L233" s="137">
        <f ca="1">+AVERAGE(L229,L231)</f>
        <v>0</v>
      </c>
      <c r="M233" s="137">
        <f ca="1">+AVERAGE(M229,M231)</f>
        <v>0</v>
      </c>
      <c r="N233" s="137">
        <f ca="1">+AVERAGE(N229,N231)</f>
        <v>0</v>
      </c>
      <c r="O233" s="137">
        <f ca="1">+AVERAGE(O229,O231)</f>
        <v>0</v>
      </c>
    </row>
    <row r="234" spans="2:15" ht="12.95" customHeight="1" x14ac:dyDescent="0.2">
      <c r="B234" s="1" t="s">
        <v>97</v>
      </c>
      <c r="G234" s="1" t="s">
        <v>138</v>
      </c>
      <c r="I234" s="258">
        <v>0.05</v>
      </c>
      <c r="K234" s="160">
        <f ca="1">+IF($E$5=1,K233,0)*$I$234</f>
        <v>0</v>
      </c>
      <c r="L234" s="160">
        <f ca="1">+IF($E$5=1,L233,0)*$I$234</f>
        <v>0</v>
      </c>
      <c r="M234" s="160">
        <f ca="1">+IF($E$5=1,M233,0)*$I$234</f>
        <v>0</v>
      </c>
      <c r="N234" s="160">
        <f ca="1">+IF($E$5=1,N233,0)*$I$234</f>
        <v>0</v>
      </c>
      <c r="O234" s="160">
        <f ca="1">+IF($E$5=1,O233,0)*$I$234</f>
        <v>0</v>
      </c>
    </row>
    <row r="235" spans="2:15" ht="3" customHeight="1" x14ac:dyDescent="0.2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2:15" ht="12.95" hidden="1" customHeight="1" outlineLevel="1" x14ac:dyDescent="0.2"/>
    <row r="237" spans="2:15" ht="12.95" hidden="1" customHeight="1" outlineLevel="1" x14ac:dyDescent="0.2">
      <c r="B237" s="1" t="s">
        <v>98</v>
      </c>
      <c r="K237" s="259">
        <f ca="1">+IF(K231&gt;$I$233,1,0)</f>
        <v>0</v>
      </c>
      <c r="L237" s="259">
        <f ca="1">+IF(L231&gt;$I$233,1,0)</f>
        <v>0</v>
      </c>
      <c r="M237" s="259">
        <f ca="1">+IF(M231&gt;$I$233,1,0)</f>
        <v>0</v>
      </c>
      <c r="N237" s="259">
        <f ca="1">+IF(N231&gt;$I$233,1,0)</f>
        <v>0</v>
      </c>
      <c r="O237" s="259">
        <f ca="1">+IF(O231&gt;$I$233,1,0)</f>
        <v>0</v>
      </c>
    </row>
    <row r="238" spans="2:15" ht="12.95" customHeight="1" collapsed="1" x14ac:dyDescent="0.2"/>
    <row r="239" spans="2:15" ht="12.95" customHeight="1" x14ac:dyDescent="0.2">
      <c r="B239" s="174" t="str">
        <f>+B122</f>
        <v>Long-Term Debt</v>
      </c>
      <c r="C239" s="28"/>
      <c r="D239" s="28"/>
      <c r="E239" s="28"/>
      <c r="F239" s="28"/>
      <c r="G239" s="28"/>
      <c r="H239" s="20"/>
      <c r="I239" s="28"/>
      <c r="J239" s="28"/>
      <c r="K239" s="28"/>
      <c r="L239" s="28"/>
      <c r="M239" s="28"/>
      <c r="N239" s="28"/>
      <c r="O239" s="28"/>
    </row>
    <row r="240" spans="2:15" ht="12.95" customHeight="1" x14ac:dyDescent="0.2">
      <c r="B240" s="1" t="s">
        <v>93</v>
      </c>
      <c r="K240" s="117">
        <f>+J122</f>
        <v>50</v>
      </c>
      <c r="L240" s="160">
        <f>+K242</f>
        <v>50</v>
      </c>
      <c r="M240" s="160">
        <f>+L242</f>
        <v>50</v>
      </c>
      <c r="N240" s="160">
        <f>+M242</f>
        <v>50</v>
      </c>
      <c r="O240" s="160">
        <f>+N242</f>
        <v>50</v>
      </c>
    </row>
    <row r="241" spans="1:15" ht="12.95" customHeight="1" x14ac:dyDescent="0.2">
      <c r="B241" s="20" t="s">
        <v>99</v>
      </c>
      <c r="C241" s="20"/>
      <c r="D241" s="20"/>
      <c r="E241" s="20"/>
      <c r="F241" s="20"/>
      <c r="G241" s="20"/>
      <c r="H241" s="20"/>
      <c r="I241" s="20"/>
      <c r="J241" s="20"/>
      <c r="K241" s="138">
        <v>0</v>
      </c>
      <c r="L241" s="138">
        <v>0</v>
      </c>
      <c r="M241" s="138">
        <v>0</v>
      </c>
      <c r="N241" s="138">
        <v>0</v>
      </c>
      <c r="O241" s="138">
        <v>0</v>
      </c>
    </row>
    <row r="242" spans="1:15" ht="12.95" customHeight="1" x14ac:dyDescent="0.2">
      <c r="B242" s="92" t="s">
        <v>95</v>
      </c>
      <c r="C242" s="92"/>
      <c r="D242" s="92"/>
      <c r="E242" s="92"/>
      <c r="F242" s="92"/>
      <c r="G242" s="92"/>
      <c r="H242" s="93"/>
      <c r="I242" s="92"/>
      <c r="J242" s="92"/>
      <c r="K242" s="154">
        <f>SUM(K240:K241)</f>
        <v>50</v>
      </c>
      <c r="L242" s="154">
        <f>SUM(L240:L241)</f>
        <v>50</v>
      </c>
      <c r="M242" s="154">
        <f>SUM(M240:M241)</f>
        <v>50</v>
      </c>
      <c r="N242" s="154">
        <f>SUM(N240:N241)</f>
        <v>50</v>
      </c>
      <c r="O242" s="154">
        <f>SUM(O240:O241)</f>
        <v>50</v>
      </c>
    </row>
    <row r="243" spans="1:15" ht="12.95" customHeight="1" x14ac:dyDescent="0.2">
      <c r="B243" s="21"/>
      <c r="C243" s="21"/>
      <c r="D243" s="21"/>
      <c r="E243" s="21"/>
      <c r="F243" s="21"/>
      <c r="G243" s="21"/>
      <c r="I243" s="21"/>
      <c r="J243" s="21"/>
      <c r="K243" s="21"/>
      <c r="L243" s="21"/>
      <c r="M243" s="21"/>
      <c r="N243" s="21"/>
      <c r="O243" s="21"/>
    </row>
    <row r="244" spans="1:15" ht="12.95" customHeight="1" x14ac:dyDescent="0.2">
      <c r="B244" s="1" t="s">
        <v>96</v>
      </c>
      <c r="K244" s="160">
        <f>+AVERAGE(K240,K242)</f>
        <v>50</v>
      </c>
      <c r="L244" s="160">
        <f>+AVERAGE(L240,L242)</f>
        <v>50</v>
      </c>
      <c r="M244" s="160">
        <f>+AVERAGE(M240,M242)</f>
        <v>50</v>
      </c>
      <c r="N244" s="160">
        <f>+AVERAGE(N240,N242)</f>
        <v>50</v>
      </c>
      <c r="O244" s="160">
        <f>+AVERAGE(O240,O242)</f>
        <v>50</v>
      </c>
    </row>
    <row r="245" spans="1:15" ht="12.95" customHeight="1" x14ac:dyDescent="0.2">
      <c r="B245" s="1" t="s">
        <v>97</v>
      </c>
      <c r="G245" s="93" t="s">
        <v>138</v>
      </c>
      <c r="H245" s="93"/>
      <c r="I245" s="173">
        <v>0.05</v>
      </c>
      <c r="K245" s="160">
        <f>+IF($E$5=1,K244,0)*$I$245</f>
        <v>2.5</v>
      </c>
      <c r="L245" s="160">
        <f>+IF($E$5=1,L244,0)*$I$245</f>
        <v>2.5</v>
      </c>
      <c r="M245" s="160">
        <f>+IF($E$5=1,M244,0)*$I$245</f>
        <v>2.5</v>
      </c>
      <c r="N245" s="160">
        <f>+IF($E$5=1,N244,0)*$I$245</f>
        <v>2.5</v>
      </c>
      <c r="O245" s="160">
        <f>+IF($E$5=1,O244,0)*$I$245</f>
        <v>2.5</v>
      </c>
    </row>
    <row r="246" spans="1:15" ht="3" customHeight="1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8" spans="1:15" ht="12.95" customHeight="1" x14ac:dyDescent="0.2">
      <c r="A248" s="1" t="s">
        <v>0</v>
      </c>
      <c r="B248" s="26" t="s">
        <v>118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30"/>
    </row>
    <row r="250" spans="1:15" ht="12.95" customHeight="1" x14ac:dyDescent="0.35">
      <c r="K250" s="9" t="str">
        <f>+K226</f>
        <v>Fiscal Year Ended 12/31</v>
      </c>
      <c r="L250" s="10"/>
      <c r="M250" s="10"/>
      <c r="N250" s="10"/>
      <c r="O250" s="10"/>
    </row>
    <row r="251" spans="1:15" ht="12.95" customHeight="1" x14ac:dyDescent="0.2">
      <c r="K251" s="11">
        <f>+$K$63</f>
        <v>2021</v>
      </c>
      <c r="L251" s="11">
        <f>+$L$63</f>
        <v>2022</v>
      </c>
      <c r="M251" s="11">
        <f>+$M$63</f>
        <v>2023</v>
      </c>
      <c r="N251" s="11">
        <f>+$N$63</f>
        <v>2024</v>
      </c>
      <c r="O251" s="11">
        <f>+$O$63</f>
        <v>2025</v>
      </c>
    </row>
    <row r="252" spans="1:15" ht="12.95" customHeight="1" x14ac:dyDescent="0.2">
      <c r="B252" s="20" t="s">
        <v>93</v>
      </c>
      <c r="C252" s="20"/>
      <c r="D252" s="20"/>
      <c r="E252" s="20"/>
      <c r="F252" s="20"/>
      <c r="G252" s="20"/>
      <c r="H252" s="20"/>
      <c r="I252" s="20"/>
      <c r="J252" s="20"/>
      <c r="K252" s="170">
        <f>+J103</f>
        <v>713.27823871970929</v>
      </c>
      <c r="L252" s="170">
        <f ca="1">+K103</f>
        <v>889.03639935826141</v>
      </c>
      <c r="M252" s="170">
        <f ca="1">+L103</f>
        <v>1082.9108464869619</v>
      </c>
      <c r="N252" s="170">
        <f ca="1">+M103</f>
        <v>1297.0592964996938</v>
      </c>
      <c r="O252" s="170">
        <f ca="1">+N103</f>
        <v>1533.9327787126406</v>
      </c>
    </row>
    <row r="253" spans="1:15" s="21" customFormat="1" ht="12.95" customHeight="1" x14ac:dyDescent="0.2">
      <c r="B253" s="16" t="s">
        <v>95</v>
      </c>
      <c r="C253" s="16"/>
      <c r="D253" s="16"/>
      <c r="E253" s="16"/>
      <c r="F253" s="16"/>
      <c r="G253" s="16"/>
      <c r="H253" s="16"/>
      <c r="I253" s="16"/>
      <c r="J253" s="16"/>
      <c r="K253" s="155">
        <f ca="1">+K103</f>
        <v>889.03639935826141</v>
      </c>
      <c r="L253" s="155">
        <f ca="1">+L103</f>
        <v>1082.9108464869619</v>
      </c>
      <c r="M253" s="155">
        <f ca="1">+M103</f>
        <v>1297.0592964996938</v>
      </c>
      <c r="N253" s="155">
        <f ca="1">+N103</f>
        <v>1533.9327787126406</v>
      </c>
      <c r="O253" s="155">
        <f ca="1">+O103</f>
        <v>1796.3198625571345</v>
      </c>
    </row>
    <row r="255" spans="1:15" ht="12.95" customHeight="1" x14ac:dyDescent="0.2">
      <c r="B255" s="1" t="s">
        <v>96</v>
      </c>
      <c r="K255" s="137">
        <f ca="1">+AVERAGE(K252,K253)</f>
        <v>801.15731903898541</v>
      </c>
      <c r="L255" s="137">
        <f ca="1">+AVERAGE(L252,L253)</f>
        <v>985.97362292261164</v>
      </c>
      <c r="M255" s="137">
        <f ca="1">+AVERAGE(M252,M253)</f>
        <v>1189.9850714933277</v>
      </c>
      <c r="N255" s="137">
        <f ca="1">+AVERAGE(N252,N253)</f>
        <v>1415.4960376061672</v>
      </c>
      <c r="O255" s="137">
        <f ca="1">+AVERAGE(O252,O253)</f>
        <v>1665.1263206348876</v>
      </c>
    </row>
    <row r="256" spans="1:15" ht="12.95" customHeight="1" x14ac:dyDescent="0.2">
      <c r="B256" s="20" t="s">
        <v>100</v>
      </c>
      <c r="C256" s="20"/>
      <c r="D256" s="20"/>
      <c r="E256" s="20"/>
      <c r="F256" s="20"/>
      <c r="G256" s="260" t="s">
        <v>101</v>
      </c>
      <c r="H256" s="20"/>
      <c r="I256" s="79">
        <v>0.01</v>
      </c>
      <c r="J256" s="20"/>
      <c r="K256" s="170">
        <f ca="1">+IF($E$5=1,K255,0)*$I$256</f>
        <v>8.0115731903898535</v>
      </c>
      <c r="L256" s="170">
        <f ca="1">+IF($E$5=1,L255,0)*$I$256</f>
        <v>9.859736229226117</v>
      </c>
      <c r="M256" s="170">
        <f ca="1">+IF($E$5=1,M255,0)*$I$256</f>
        <v>11.899850714933278</v>
      </c>
      <c r="N256" s="170">
        <f ca="1">+IF($E$5=1,N255,0)*$I$256</f>
        <v>14.154960376061672</v>
      </c>
      <c r="O256" s="170">
        <f ca="1">+IF($E$5=1,O255,0)*$I$256</f>
        <v>16.651263206348876</v>
      </c>
    </row>
    <row r="257" spans="1:23" ht="12.95" customHeight="1" x14ac:dyDescent="0.2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1:23" ht="12.95" customHeight="1" x14ac:dyDescent="0.2">
      <c r="A258" s="1" t="s">
        <v>0</v>
      </c>
      <c r="B258" s="26" t="s">
        <v>139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30"/>
    </row>
    <row r="260" spans="1:23" ht="12.95" customHeight="1" x14ac:dyDescent="0.35">
      <c r="H260" s="98" t="str">
        <f>+$K$250</f>
        <v>Fiscal Year Ended 12/31</v>
      </c>
      <c r="I260" s="108"/>
      <c r="J260" s="98"/>
      <c r="K260" s="31"/>
      <c r="L260" s="99"/>
      <c r="M260" s="99"/>
      <c r="N260" s="99"/>
      <c r="O260" s="99"/>
    </row>
    <row r="261" spans="1:23" ht="12.95" customHeight="1" x14ac:dyDescent="0.2">
      <c r="H261" s="32">
        <f>+$H$63</f>
        <v>2018</v>
      </c>
      <c r="I261" s="32">
        <f>+$I$63</f>
        <v>2019</v>
      </c>
      <c r="J261" s="33">
        <f>+$J$63</f>
        <v>2020</v>
      </c>
      <c r="K261" s="11">
        <f>+$K$63</f>
        <v>2021</v>
      </c>
      <c r="L261" s="11">
        <f>+$L$63</f>
        <v>2022</v>
      </c>
      <c r="M261" s="11">
        <f>+$M$63</f>
        <v>2023</v>
      </c>
      <c r="N261" s="11">
        <f>+$N$63</f>
        <v>2024</v>
      </c>
      <c r="O261" s="11">
        <f>+$O$63</f>
        <v>2025</v>
      </c>
    </row>
    <row r="262" spans="1:23" ht="12.95" customHeight="1" x14ac:dyDescent="0.2">
      <c r="B262" s="1" t="s">
        <v>39</v>
      </c>
      <c r="H262" s="17">
        <f t="shared" ref="H262:O262" si="50">+H73</f>
        <v>144.38336269074406</v>
      </c>
      <c r="I262" s="17">
        <f t="shared" si="50"/>
        <v>158.09058392211767</v>
      </c>
      <c r="J262" s="213">
        <f t="shared" si="50"/>
        <v>173.73619092811771</v>
      </c>
      <c r="K262" s="17">
        <f t="shared" ca="1" si="50"/>
        <v>191.19683918614641</v>
      </c>
      <c r="L262" s="17">
        <f t="shared" ca="1" si="50"/>
        <v>210.71549964179448</v>
      </c>
      <c r="M262" s="17">
        <f t="shared" ca="1" si="50"/>
        <v>232.56978295217664</v>
      </c>
      <c r="N262" s="17">
        <f t="shared" ca="1" si="50"/>
        <v>257.07880207604501</v>
      </c>
      <c r="O262" s="17">
        <f t="shared" ca="1" si="50"/>
        <v>284.60992644787052</v>
      </c>
    </row>
    <row r="263" spans="1:23" ht="12.95" customHeight="1" x14ac:dyDescent="0.25">
      <c r="J263" s="192"/>
      <c r="Q263"/>
      <c r="R263"/>
      <c r="S263"/>
      <c r="T263"/>
    </row>
    <row r="264" spans="1:23" ht="12.95" customHeight="1" x14ac:dyDescent="0.25">
      <c r="B264" s="255" t="s">
        <v>158</v>
      </c>
      <c r="J264" s="192"/>
      <c r="Q264"/>
      <c r="R264"/>
      <c r="S264"/>
      <c r="T264"/>
    </row>
    <row r="265" spans="1:23" ht="12.95" customHeight="1" x14ac:dyDescent="0.25">
      <c r="B265" s="1" t="s">
        <v>140</v>
      </c>
      <c r="H265" s="135">
        <f>+H75</f>
        <v>100.91013022450269</v>
      </c>
      <c r="I265" s="135">
        <f>+I75</f>
        <v>101.22532805211092</v>
      </c>
      <c r="J265" s="236">
        <f>+J75</f>
        <v>101.5551580431645</v>
      </c>
      <c r="K265" s="23">
        <f ca="1">+K284</f>
        <v>101.89686926219814</v>
      </c>
      <c r="L265" s="23">
        <f ca="1">+L284</f>
        <v>102.25037131335471</v>
      </c>
      <c r="M265" s="23">
        <f ca="1">+M284</f>
        <v>102.61458004154703</v>
      </c>
      <c r="N265" s="23">
        <f ca="1">+N284</f>
        <v>102.9884647971969</v>
      </c>
      <c r="O265" s="23">
        <f ca="1">+O284</f>
        <v>103.37104759455143</v>
      </c>
      <c r="Q265"/>
      <c r="R265"/>
      <c r="S265"/>
      <c r="T265"/>
      <c r="U265" s="23"/>
      <c r="V265" s="23"/>
      <c r="W265"/>
    </row>
    <row r="266" spans="1:23" ht="12.95" customHeight="1" x14ac:dyDescent="0.25">
      <c r="B266" s="93" t="s">
        <v>141</v>
      </c>
      <c r="C266" s="93"/>
      <c r="D266" s="93"/>
      <c r="E266" s="93"/>
      <c r="F266" s="93"/>
      <c r="G266" s="93"/>
      <c r="H266" s="136">
        <f>+H267-H265</f>
        <v>5</v>
      </c>
      <c r="I266" s="136">
        <f>+I267-I265</f>
        <v>5</v>
      </c>
      <c r="J266" s="237">
        <f>+J267-J265</f>
        <v>5</v>
      </c>
      <c r="K266" s="111">
        <f>+J266</f>
        <v>5</v>
      </c>
      <c r="L266" s="111">
        <f>+K266</f>
        <v>5</v>
      </c>
      <c r="M266" s="111">
        <f>+L266</f>
        <v>5</v>
      </c>
      <c r="N266" s="111">
        <f>+M266</f>
        <v>5</v>
      </c>
      <c r="O266" s="111">
        <f>+N266</f>
        <v>5</v>
      </c>
      <c r="Q266"/>
      <c r="R266"/>
      <c r="S266"/>
      <c r="T266"/>
      <c r="U266" s="23"/>
      <c r="V266" s="23"/>
      <c r="W266"/>
    </row>
    <row r="267" spans="1:23" ht="12.95" customHeight="1" x14ac:dyDescent="0.25">
      <c r="B267" s="183" t="s">
        <v>107</v>
      </c>
      <c r="C267" s="183"/>
      <c r="D267" s="183"/>
      <c r="E267" s="183"/>
      <c r="F267" s="183"/>
      <c r="G267" s="183"/>
      <c r="H267" s="238">
        <f>+H78</f>
        <v>105.91013022450269</v>
      </c>
      <c r="I267" s="238">
        <f>+I78</f>
        <v>106.22532805211092</v>
      </c>
      <c r="J267" s="239">
        <f>+J78</f>
        <v>106.5551580431645</v>
      </c>
      <c r="K267" s="187">
        <f ca="1">SUM(K265:K266)</f>
        <v>106.89686926219814</v>
      </c>
      <c r="L267" s="187">
        <f ca="1">SUM(L265:L266)</f>
        <v>107.25037131335471</v>
      </c>
      <c r="M267" s="187">
        <f ca="1">SUM(M265:M266)</f>
        <v>107.61458004154703</v>
      </c>
      <c r="N267" s="187">
        <f ca="1">SUM(N265:N266)</f>
        <v>107.9884647971969</v>
      </c>
      <c r="O267" s="187">
        <f ca="1">SUM(O265:O266)</f>
        <v>108.37104759455143</v>
      </c>
      <c r="Q267"/>
      <c r="R267"/>
      <c r="S267"/>
      <c r="T267"/>
      <c r="U267" s="23"/>
      <c r="V267" s="23"/>
      <c r="W267"/>
    </row>
    <row r="268" spans="1:23" ht="12.95" customHeight="1" x14ac:dyDescent="0.25">
      <c r="B268" s="92"/>
      <c r="C268" s="92"/>
      <c r="D268" s="92"/>
      <c r="E268" s="92"/>
      <c r="F268" s="92"/>
      <c r="G268" s="92"/>
      <c r="H268" s="240"/>
      <c r="I268" s="240"/>
      <c r="J268" s="241"/>
      <c r="K268" s="92"/>
      <c r="L268" s="92"/>
      <c r="M268" s="92"/>
      <c r="N268" s="92"/>
      <c r="O268" s="92"/>
      <c r="Q268"/>
      <c r="R268"/>
      <c r="S268"/>
      <c r="T268"/>
      <c r="U268" s="23"/>
      <c r="V268" s="23"/>
      <c r="W268"/>
    </row>
    <row r="269" spans="1:23" ht="12.95" customHeight="1" x14ac:dyDescent="0.25">
      <c r="B269" s="93" t="s">
        <v>143</v>
      </c>
      <c r="C269" s="93"/>
      <c r="D269" s="93"/>
      <c r="E269" s="93"/>
      <c r="F269" s="93"/>
      <c r="G269" s="93"/>
      <c r="H269" s="136"/>
      <c r="I269" s="136"/>
      <c r="J269" s="237"/>
      <c r="K269" s="111">
        <f ca="1">+K135+K136</f>
        <v>11.111880686976447</v>
      </c>
      <c r="L269" s="111">
        <f t="shared" ref="L269:O269" ca="1" si="51">+L135+L136</f>
        <v>11.945271738499681</v>
      </c>
      <c r="M269" s="111">
        <f t="shared" ca="1" si="51"/>
        <v>12.871030298233407</v>
      </c>
      <c r="N269" s="111">
        <f t="shared" ca="1" si="51"/>
        <v>13.900712722092081</v>
      </c>
      <c r="O269" s="111">
        <f t="shared" ca="1" si="51"/>
        <v>15.047521521664677</v>
      </c>
      <c r="Q269"/>
      <c r="R269"/>
      <c r="S269"/>
      <c r="T269"/>
      <c r="U269" s="23"/>
      <c r="V269" s="23"/>
      <c r="W269"/>
    </row>
    <row r="270" spans="1:23" ht="12.95" customHeight="1" x14ac:dyDescent="0.25">
      <c r="B270" s="93" t="s">
        <v>142</v>
      </c>
      <c r="C270" s="93"/>
      <c r="D270" s="93"/>
      <c r="E270" s="93"/>
      <c r="F270" s="93"/>
      <c r="G270" s="93"/>
      <c r="H270" s="136"/>
      <c r="I270" s="136"/>
      <c r="J270" s="237"/>
      <c r="K270" s="111">
        <f>-K138</f>
        <v>-5</v>
      </c>
      <c r="L270" s="111">
        <f t="shared" ref="L270:O270" si="52">-L138</f>
        <v>-5</v>
      </c>
      <c r="M270" s="111">
        <f t="shared" si="52"/>
        <v>-5</v>
      </c>
      <c r="N270" s="111">
        <f t="shared" si="52"/>
        <v>-5</v>
      </c>
      <c r="O270" s="111">
        <f t="shared" si="52"/>
        <v>-5</v>
      </c>
      <c r="Q270"/>
      <c r="R270"/>
      <c r="S270"/>
      <c r="T270"/>
      <c r="U270" s="23"/>
      <c r="V270" s="23"/>
      <c r="W270"/>
    </row>
    <row r="271" spans="1:23" ht="12.95" customHeight="1" x14ac:dyDescent="0.25">
      <c r="B271" s="183" t="s">
        <v>144</v>
      </c>
      <c r="C271" s="183"/>
      <c r="D271" s="183"/>
      <c r="E271" s="183"/>
      <c r="F271" s="183"/>
      <c r="G271" s="183"/>
      <c r="H271" s="149"/>
      <c r="I271" s="149"/>
      <c r="J271" s="242"/>
      <c r="K271" s="184">
        <f ca="1">SUM(K269:K270)</f>
        <v>6.1118806869764466</v>
      </c>
      <c r="L271" s="184">
        <f ca="1">SUM(L269:L270)</f>
        <v>6.9452717384996809</v>
      </c>
      <c r="M271" s="184">
        <f ca="1">SUM(M269:M270)</f>
        <v>7.8710302982334071</v>
      </c>
      <c r="N271" s="184">
        <f ca="1">SUM(N269:N270)</f>
        <v>8.9007127220920808</v>
      </c>
      <c r="O271" s="184">
        <f ca="1">SUM(O269:O270)</f>
        <v>10.047521521664677</v>
      </c>
      <c r="Q271"/>
      <c r="R271"/>
      <c r="S271"/>
      <c r="T271"/>
      <c r="U271" s="23"/>
      <c r="V271" s="23"/>
      <c r="W271"/>
    </row>
    <row r="272" spans="1:23" ht="12.95" customHeight="1" x14ac:dyDescent="0.25">
      <c r="B272" s="92"/>
      <c r="C272" s="92"/>
      <c r="D272" s="92"/>
      <c r="E272" s="92"/>
      <c r="F272" s="92"/>
      <c r="G272" s="92"/>
      <c r="H272" s="240"/>
      <c r="I272" s="240"/>
      <c r="J272" s="241"/>
      <c r="K272" s="92"/>
      <c r="L272" s="92"/>
      <c r="M272" s="92"/>
      <c r="N272" s="92"/>
      <c r="O272" s="92"/>
      <c r="Q272"/>
      <c r="R272"/>
      <c r="S272"/>
      <c r="T272"/>
      <c r="U272" s="23"/>
      <c r="V272" s="23"/>
      <c r="W272"/>
    </row>
    <row r="273" spans="2:23" ht="12.95" customHeight="1" x14ac:dyDescent="0.25">
      <c r="B273" s="93" t="s">
        <v>145</v>
      </c>
      <c r="C273" s="93"/>
      <c r="D273" s="93"/>
      <c r="E273" s="93"/>
      <c r="F273" s="93"/>
      <c r="G273" s="93"/>
      <c r="H273" s="136"/>
      <c r="I273" s="136"/>
      <c r="J273" s="237"/>
      <c r="K273" s="111">
        <f t="shared" ref="K273:O274" ca="1" si="53">+K269/K$279</f>
        <v>0.62125792203275587</v>
      </c>
      <c r="L273" s="111">
        <f t="shared" ca="1" si="53"/>
        <v>0.60799321036996257</v>
      </c>
      <c r="M273" s="111">
        <f t="shared" ca="1" si="53"/>
        <v>0.59556899132970686</v>
      </c>
      <c r="N273" s="111">
        <f t="shared" ca="1" si="53"/>
        <v>0.58391555167920139</v>
      </c>
      <c r="O273" s="111">
        <f t="shared" ca="1" si="53"/>
        <v>0.57296944968943608</v>
      </c>
      <c r="Q273"/>
      <c r="R273"/>
      <c r="S273"/>
      <c r="T273"/>
      <c r="U273" s="23"/>
      <c r="V273" s="23"/>
      <c r="W273"/>
    </row>
    <row r="274" spans="2:23" ht="12.95" customHeight="1" x14ac:dyDescent="0.25">
      <c r="B274" s="93" t="s">
        <v>146</v>
      </c>
      <c r="C274" s="93"/>
      <c r="D274" s="93"/>
      <c r="E274" s="93"/>
      <c r="F274" s="93"/>
      <c r="G274" s="93"/>
      <c r="H274" s="136"/>
      <c r="I274" s="136"/>
      <c r="J274" s="237"/>
      <c r="K274" s="111">
        <f t="shared" si="53"/>
        <v>-0.27954670299911255</v>
      </c>
      <c r="L274" s="111">
        <f t="shared" si="53"/>
        <v>-0.25449115921339688</v>
      </c>
      <c r="M274" s="111">
        <f t="shared" si="53"/>
        <v>-0.23136026313738486</v>
      </c>
      <c r="N274" s="111">
        <f t="shared" si="53"/>
        <v>-0.210030796029328</v>
      </c>
      <c r="O274" s="111">
        <f t="shared" si="53"/>
        <v>-0.19038665233490545</v>
      </c>
      <c r="Q274"/>
      <c r="R274"/>
      <c r="S274"/>
      <c r="T274"/>
      <c r="U274" s="23"/>
      <c r="V274" s="23"/>
      <c r="W274"/>
    </row>
    <row r="275" spans="2:23" ht="12.95" customHeight="1" x14ac:dyDescent="0.25">
      <c r="B275" s="183" t="s">
        <v>144</v>
      </c>
      <c r="C275" s="183"/>
      <c r="D275" s="183"/>
      <c r="E275" s="183"/>
      <c r="F275" s="183"/>
      <c r="G275" s="183"/>
      <c r="H275" s="238"/>
      <c r="I275" s="238"/>
      <c r="J275" s="239"/>
      <c r="K275" s="187">
        <f ca="1">SUM(K273:K274)</f>
        <v>0.34171121903364332</v>
      </c>
      <c r="L275" s="187">
        <f ca="1">SUM(L273:L274)</f>
        <v>0.35350205115656569</v>
      </c>
      <c r="M275" s="187">
        <f ca="1">SUM(M273:M274)</f>
        <v>0.36420872819232197</v>
      </c>
      <c r="N275" s="187">
        <f ca="1">SUM(N273:N274)</f>
        <v>0.37388475564987339</v>
      </c>
      <c r="O275" s="187">
        <f ca="1">SUM(O273:O274)</f>
        <v>0.3825827973545306</v>
      </c>
      <c r="Q275"/>
      <c r="R275"/>
      <c r="S275"/>
      <c r="T275"/>
      <c r="U275" s="23"/>
      <c r="V275" s="23"/>
      <c r="W275"/>
    </row>
    <row r="276" spans="2:23" ht="12.95" customHeight="1" x14ac:dyDescent="0.25">
      <c r="B276" s="92"/>
      <c r="C276" s="92"/>
      <c r="D276" s="92"/>
      <c r="E276" s="92"/>
      <c r="F276" s="92"/>
      <c r="G276" s="92"/>
      <c r="H276" s="240"/>
      <c r="I276" s="240"/>
      <c r="J276" s="241"/>
      <c r="K276" s="92"/>
      <c r="L276" s="92"/>
      <c r="M276" s="92"/>
      <c r="N276" s="92"/>
      <c r="O276" s="92"/>
      <c r="Q276"/>
      <c r="R276"/>
      <c r="S276"/>
      <c r="T276"/>
      <c r="U276" s="23"/>
      <c r="V276" s="23"/>
      <c r="W276"/>
    </row>
    <row r="277" spans="2:23" ht="12.95" customHeight="1" x14ac:dyDescent="0.25">
      <c r="B277" s="93" t="s">
        <v>108</v>
      </c>
      <c r="C277" s="93"/>
      <c r="D277" s="93"/>
      <c r="E277" s="93"/>
      <c r="F277" s="93"/>
      <c r="G277" s="93"/>
      <c r="H277" s="243"/>
      <c r="I277" s="243"/>
      <c r="J277" s="244"/>
      <c r="K277" s="252">
        <v>1.7886098982236514</v>
      </c>
      <c r="L277" s="252">
        <v>1.9647047918892071</v>
      </c>
      <c r="M277" s="252">
        <v>2.1611317052448769</v>
      </c>
      <c r="N277" s="252">
        <v>2.3806032708183502</v>
      </c>
      <c r="O277" s="252">
        <v>2.6262345278305528</v>
      </c>
      <c r="Q277"/>
      <c r="R277"/>
      <c r="S277"/>
      <c r="T277"/>
      <c r="U277" s="23"/>
      <c r="V277" s="23"/>
      <c r="W277"/>
    </row>
    <row r="278" spans="2:23" ht="12.95" customHeight="1" x14ac:dyDescent="0.25">
      <c r="B278" s="93" t="s">
        <v>147</v>
      </c>
      <c r="C278" s="93"/>
      <c r="D278" s="93"/>
      <c r="E278" s="93"/>
      <c r="F278" s="93"/>
      <c r="G278" s="93"/>
      <c r="H278" s="245"/>
      <c r="I278" s="245"/>
      <c r="J278" s="246"/>
      <c r="K278" s="112">
        <v>10</v>
      </c>
      <c r="L278" s="185">
        <f>+K278</f>
        <v>10</v>
      </c>
      <c r="M278" s="185">
        <f>+L278</f>
        <v>10</v>
      </c>
      <c r="N278" s="185">
        <f>+M278</f>
        <v>10</v>
      </c>
      <c r="O278" s="185">
        <f>+N278</f>
        <v>10</v>
      </c>
      <c r="Q278"/>
      <c r="R278"/>
      <c r="S278"/>
      <c r="T278"/>
      <c r="U278" s="23"/>
      <c r="V278" s="23"/>
      <c r="W278"/>
    </row>
    <row r="279" spans="2:23" s="21" customFormat="1" ht="12.95" customHeight="1" x14ac:dyDescent="0.25">
      <c r="B279" s="183" t="s">
        <v>148</v>
      </c>
      <c r="C279" s="183"/>
      <c r="D279" s="183"/>
      <c r="E279" s="183"/>
      <c r="F279" s="183"/>
      <c r="G279" s="183"/>
      <c r="H279" s="247"/>
      <c r="I279" s="247"/>
      <c r="J279" s="248"/>
      <c r="K279" s="186">
        <f>+K277*K278</f>
        <v>17.886098982236515</v>
      </c>
      <c r="L279" s="186">
        <f>+L277*L278</f>
        <v>19.647047918892071</v>
      </c>
      <c r="M279" s="186">
        <f>+M277*M278</f>
        <v>21.611317052448769</v>
      </c>
      <c r="N279" s="186">
        <f>+N277*N278</f>
        <v>23.806032708183501</v>
      </c>
      <c r="O279" s="186">
        <f>+O277*O278</f>
        <v>26.262345278305528</v>
      </c>
      <c r="Q279"/>
      <c r="R279"/>
      <c r="S279"/>
      <c r="T279"/>
      <c r="U279" s="23"/>
      <c r="V279" s="23"/>
      <c r="W279"/>
    </row>
    <row r="280" spans="2:23" s="21" customFormat="1" ht="12.95" customHeight="1" x14ac:dyDescent="0.25">
      <c r="B280" s="92"/>
      <c r="C280" s="92"/>
      <c r="D280" s="92"/>
      <c r="E280" s="92"/>
      <c r="F280" s="92"/>
      <c r="G280" s="92"/>
      <c r="H280" s="249"/>
      <c r="I280" s="249"/>
      <c r="J280" s="250"/>
      <c r="K280" s="188"/>
      <c r="L280" s="188"/>
      <c r="M280" s="188"/>
      <c r="N280" s="188"/>
      <c r="O280" s="188"/>
      <c r="Q280"/>
      <c r="R280"/>
      <c r="S280"/>
      <c r="T280"/>
      <c r="U280" s="23"/>
      <c r="V280" s="23"/>
      <c r="W280"/>
    </row>
    <row r="281" spans="2:23" s="21" customFormat="1" ht="12.95" customHeight="1" x14ac:dyDescent="0.25">
      <c r="B281" s="254" t="s">
        <v>157</v>
      </c>
      <c r="C281" s="92"/>
      <c r="D281" s="92"/>
      <c r="E281" s="92"/>
      <c r="F281" s="92"/>
      <c r="G281" s="92"/>
      <c r="H281" s="249"/>
      <c r="I281" s="249"/>
      <c r="J281" s="250"/>
      <c r="K281" s="188"/>
      <c r="L281" s="188"/>
      <c r="M281" s="188"/>
      <c r="N281" s="188"/>
      <c r="O281" s="188"/>
      <c r="Q281"/>
      <c r="R281"/>
      <c r="S281"/>
      <c r="T281"/>
      <c r="U281" s="23"/>
      <c r="V281" s="23"/>
      <c r="W281"/>
    </row>
    <row r="282" spans="2:23" s="21" customFormat="1" ht="12.95" customHeight="1" x14ac:dyDescent="0.25">
      <c r="B282" s="93" t="s">
        <v>149</v>
      </c>
      <c r="C282" s="92"/>
      <c r="D282" s="92"/>
      <c r="E282" s="92"/>
      <c r="F282" s="92"/>
      <c r="G282" s="92"/>
      <c r="H282" s="226"/>
      <c r="I282" s="136"/>
      <c r="J282" s="237"/>
      <c r="K282" s="111">
        <f>+J265</f>
        <v>101.5551580431645</v>
      </c>
      <c r="L282" s="111">
        <f ca="1">+K284</f>
        <v>101.89686926219814</v>
      </c>
      <c r="M282" s="111">
        <f ca="1">+L284</f>
        <v>102.25037131335471</v>
      </c>
      <c r="N282" s="111">
        <f ca="1">+M284</f>
        <v>102.61458004154703</v>
      </c>
      <c r="O282" s="111">
        <f ca="1">+N284</f>
        <v>102.9884647971969</v>
      </c>
      <c r="Q282"/>
      <c r="R282"/>
      <c r="S282"/>
      <c r="T282"/>
      <c r="U282" s="23"/>
      <c r="V282" s="23"/>
      <c r="W282"/>
    </row>
    <row r="283" spans="2:23" ht="12.95" customHeight="1" x14ac:dyDescent="0.25">
      <c r="B283" s="20" t="str">
        <f>+B275</f>
        <v>Net Shares Issued / (Repurchased)</v>
      </c>
      <c r="C283" s="20"/>
      <c r="D283" s="20"/>
      <c r="E283" s="20"/>
      <c r="F283" s="20"/>
      <c r="G283" s="20"/>
      <c r="H283" s="140"/>
      <c r="I283" s="140"/>
      <c r="J283" s="122"/>
      <c r="K283" s="77">
        <f ca="1">+K275</f>
        <v>0.34171121903364332</v>
      </c>
      <c r="L283" s="77">
        <f ca="1">+L275</f>
        <v>0.35350205115656569</v>
      </c>
      <c r="M283" s="77">
        <f ca="1">+M275</f>
        <v>0.36420872819232197</v>
      </c>
      <c r="N283" s="77">
        <f ca="1">+N275</f>
        <v>0.37388475564987339</v>
      </c>
      <c r="O283" s="77">
        <f ca="1">+O275</f>
        <v>0.3825827973545306</v>
      </c>
      <c r="Q283"/>
      <c r="R283"/>
      <c r="S283"/>
      <c r="T283"/>
      <c r="U283" s="23"/>
      <c r="V283" s="23"/>
      <c r="W283"/>
    </row>
    <row r="284" spans="2:23" s="21" customFormat="1" ht="12.95" customHeight="1" x14ac:dyDescent="0.25">
      <c r="B284" s="92" t="s">
        <v>150</v>
      </c>
      <c r="C284" s="92"/>
      <c r="D284" s="92"/>
      <c r="E284" s="92"/>
      <c r="F284" s="92"/>
      <c r="G284" s="92"/>
      <c r="H284" s="142"/>
      <c r="I284" s="142"/>
      <c r="J284" s="141"/>
      <c r="K284" s="189">
        <f ca="1">SUM(K282:K283)</f>
        <v>101.89686926219814</v>
      </c>
      <c r="L284" s="189">
        <f ca="1">SUM(L282:L283)</f>
        <v>102.25037131335471</v>
      </c>
      <c r="M284" s="189">
        <f ca="1">SUM(M282:M283)</f>
        <v>102.61458004154703</v>
      </c>
      <c r="N284" s="189">
        <f ca="1">SUM(N282:N283)</f>
        <v>102.9884647971969</v>
      </c>
      <c r="O284" s="189">
        <f ca="1">SUM(O282:O283)</f>
        <v>103.37104759455143</v>
      </c>
      <c r="Q284"/>
      <c r="R284"/>
      <c r="S284"/>
      <c r="T284"/>
      <c r="U284" s="23"/>
      <c r="V284" s="23"/>
      <c r="W284"/>
    </row>
    <row r="285" spans="2:23" ht="12.95" customHeight="1" x14ac:dyDescent="0.25">
      <c r="Q285"/>
      <c r="R285"/>
      <c r="S285"/>
      <c r="T285"/>
    </row>
    <row r="286" spans="2:23" ht="12.95" customHeight="1" x14ac:dyDescent="0.25">
      <c r="B286" s="26" t="s">
        <v>311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0"/>
      <c r="Q286"/>
      <c r="R286"/>
      <c r="S286"/>
      <c r="T286"/>
    </row>
    <row r="287" spans="2:23" ht="12.95" customHeight="1" x14ac:dyDescent="0.2">
      <c r="H287" s="23"/>
      <c r="I287" s="23"/>
      <c r="J287" s="23"/>
      <c r="P287" s="93"/>
      <c r="Q287" s="93"/>
      <c r="R287" s="93"/>
    </row>
    <row r="288" spans="2:23" ht="12.95" customHeight="1" x14ac:dyDescent="0.2">
      <c r="B288" s="362" t="s">
        <v>360</v>
      </c>
      <c r="C288" s="363"/>
      <c r="D288" s="363"/>
      <c r="E288" s="363"/>
      <c r="F288" s="363"/>
      <c r="G288" s="363"/>
      <c r="H288" s="363"/>
      <c r="I288" s="363"/>
      <c r="J288" s="363"/>
      <c r="K288" s="363"/>
      <c r="L288" s="363"/>
      <c r="M288" s="363"/>
      <c r="N288" s="363"/>
      <c r="O288" s="363"/>
      <c r="P288" s="367"/>
      <c r="Q288" s="367"/>
      <c r="R288" s="93"/>
    </row>
    <row r="289" spans="2:18" ht="12.95" customHeight="1" x14ac:dyDescent="0.2">
      <c r="B289" s="81" t="s">
        <v>332</v>
      </c>
      <c r="C289" s="81"/>
      <c r="D289" s="81"/>
      <c r="E289" s="81"/>
      <c r="F289" s="81"/>
      <c r="G289" s="81"/>
      <c r="H289" s="81"/>
      <c r="I289" s="81"/>
      <c r="J289" s="81"/>
      <c r="K289" s="364">
        <v>8.2500000000000059E-2</v>
      </c>
      <c r="L289" s="364">
        <v>8.5000000000000062E-2</v>
      </c>
      <c r="M289" s="364">
        <v>8.7500000000000064E-2</v>
      </c>
      <c r="N289" s="364">
        <v>9.0000000000000066E-2</v>
      </c>
      <c r="O289" s="364">
        <v>9.2500000000000068E-2</v>
      </c>
      <c r="P289" s="93"/>
      <c r="Q289" s="93"/>
      <c r="R289" s="93"/>
    </row>
    <row r="290" spans="2:18" ht="12.95" customHeight="1" x14ac:dyDescent="0.2">
      <c r="B290" s="81" t="s">
        <v>104</v>
      </c>
      <c r="C290" s="81"/>
      <c r="D290" s="81"/>
      <c r="E290" s="81"/>
      <c r="F290" s="81"/>
      <c r="G290" s="81"/>
      <c r="H290" s="81"/>
      <c r="I290" s="81"/>
      <c r="J290" s="81"/>
      <c r="K290" s="364">
        <v>7.2500000000000064E-2</v>
      </c>
      <c r="L290" s="364">
        <v>7.5000000000000067E-2</v>
      </c>
      <c r="M290" s="364">
        <v>7.7500000000000069E-2</v>
      </c>
      <c r="N290" s="364">
        <v>8.0000000000000071E-2</v>
      </c>
      <c r="O290" s="364">
        <v>8.2500000000000073E-2</v>
      </c>
      <c r="P290" s="93"/>
      <c r="Q290" s="93"/>
      <c r="R290" s="93"/>
    </row>
    <row r="291" spans="2:18" ht="12.95" customHeight="1" x14ac:dyDescent="0.2">
      <c r="B291" s="363" t="s">
        <v>333</v>
      </c>
      <c r="C291" s="363"/>
      <c r="D291" s="363"/>
      <c r="E291" s="363"/>
      <c r="F291" s="363"/>
      <c r="G291" s="363"/>
      <c r="H291" s="363"/>
      <c r="I291" s="363"/>
      <c r="J291" s="363"/>
      <c r="K291" s="365">
        <v>6.2500000000000069E-2</v>
      </c>
      <c r="L291" s="365">
        <v>6.5000000000000072E-2</v>
      </c>
      <c r="M291" s="365">
        <v>6.7500000000000074E-2</v>
      </c>
      <c r="N291" s="365">
        <v>7.0000000000000076E-2</v>
      </c>
      <c r="O291" s="365">
        <v>7.2500000000000078E-2</v>
      </c>
      <c r="P291" s="93"/>
      <c r="Q291" s="93"/>
      <c r="R291" s="93"/>
    </row>
    <row r="292" spans="2:18" ht="12.95" customHeight="1" x14ac:dyDescent="0.2">
      <c r="B292" s="362" t="str">
        <f ca="1">+OFFSET(B288,$D$10,0)</f>
        <v>Mid (Base) Case</v>
      </c>
      <c r="C292" s="363"/>
      <c r="D292" s="363"/>
      <c r="E292" s="363"/>
      <c r="F292" s="363"/>
      <c r="G292" s="363"/>
      <c r="H292" s="363"/>
      <c r="I292" s="363"/>
      <c r="J292" s="363"/>
      <c r="K292" s="368">
        <f ca="1">+OFFSET(K288,$D$10,0)</f>
        <v>7.2500000000000064E-2</v>
      </c>
      <c r="L292" s="368">
        <f t="shared" ref="L292:O292" ca="1" si="54">+OFFSET(L288,$D$10,0)</f>
        <v>7.5000000000000067E-2</v>
      </c>
      <c r="M292" s="368">
        <f t="shared" ca="1" si="54"/>
        <v>7.7500000000000069E-2</v>
      </c>
      <c r="N292" s="368">
        <f t="shared" ca="1" si="54"/>
        <v>8.0000000000000071E-2</v>
      </c>
      <c r="O292" s="368">
        <f t="shared" ca="1" si="54"/>
        <v>8.2500000000000073E-2</v>
      </c>
      <c r="P292" s="93"/>
      <c r="Q292" s="93"/>
      <c r="R292" s="93"/>
    </row>
    <row r="293" spans="2:18" ht="12.95" customHeight="1" x14ac:dyDescent="0.2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8" ht="12.95" customHeight="1" x14ac:dyDescent="0.2">
      <c r="B294" s="362" t="s">
        <v>45</v>
      </c>
      <c r="C294" s="363"/>
      <c r="D294" s="363"/>
      <c r="E294" s="363"/>
      <c r="F294" s="363"/>
      <c r="G294" s="363"/>
      <c r="H294" s="363"/>
      <c r="I294" s="363"/>
      <c r="J294" s="363"/>
      <c r="K294" s="363"/>
      <c r="L294" s="363"/>
      <c r="M294" s="363"/>
      <c r="N294" s="363"/>
      <c r="O294" s="363"/>
    </row>
    <row r="295" spans="2:18" ht="12.95" customHeight="1" x14ac:dyDescent="0.2">
      <c r="B295" s="81" t="s">
        <v>332</v>
      </c>
      <c r="C295" s="81"/>
      <c r="D295" s="81"/>
      <c r="E295" s="81"/>
      <c r="F295" s="81"/>
      <c r="G295" s="81"/>
      <c r="H295" s="81"/>
      <c r="I295" s="81"/>
      <c r="J295" s="81"/>
      <c r="K295" s="364">
        <v>0.45150000000000001</v>
      </c>
      <c r="L295" s="364">
        <v>0.45350000000000001</v>
      </c>
      <c r="M295" s="364">
        <v>0.45550000000000002</v>
      </c>
      <c r="N295" s="364">
        <v>0.45750000000000002</v>
      </c>
      <c r="O295" s="364">
        <v>0.45950000000000002</v>
      </c>
    </row>
    <row r="296" spans="2:18" ht="12.95" customHeight="1" x14ac:dyDescent="0.2">
      <c r="B296" s="81" t="s">
        <v>104</v>
      </c>
      <c r="C296" s="81"/>
      <c r="D296" s="81"/>
      <c r="E296" s="81"/>
      <c r="F296" s="81"/>
      <c r="G296" s="81"/>
      <c r="H296" s="81"/>
      <c r="I296" s="81"/>
      <c r="J296" s="81"/>
      <c r="K296" s="364">
        <v>0.44400000000000001</v>
      </c>
      <c r="L296" s="364">
        <v>0.44600000000000001</v>
      </c>
      <c r="M296" s="364">
        <v>0.44800000000000001</v>
      </c>
      <c r="N296" s="364">
        <v>0.45</v>
      </c>
      <c r="O296" s="364">
        <v>0.45200000000000001</v>
      </c>
    </row>
    <row r="297" spans="2:18" ht="12.95" customHeight="1" x14ac:dyDescent="0.2">
      <c r="B297" s="363" t="s">
        <v>333</v>
      </c>
      <c r="C297" s="363"/>
      <c r="D297" s="363"/>
      <c r="E297" s="363"/>
      <c r="F297" s="363"/>
      <c r="G297" s="363"/>
      <c r="H297" s="363"/>
      <c r="I297" s="363"/>
      <c r="J297" s="363"/>
      <c r="K297" s="365">
        <v>0.4365</v>
      </c>
      <c r="L297" s="365">
        <v>0.4385</v>
      </c>
      <c r="M297" s="365">
        <v>0.4405</v>
      </c>
      <c r="N297" s="365">
        <v>0.4425</v>
      </c>
      <c r="O297" s="365">
        <v>0.44450000000000001</v>
      </c>
    </row>
    <row r="298" spans="2:18" ht="12.95" customHeight="1" x14ac:dyDescent="0.2">
      <c r="B298" s="362" t="str">
        <f ca="1">+OFFSET(B294,$D$10,0)</f>
        <v>Mid (Base) Case</v>
      </c>
      <c r="C298" s="363"/>
      <c r="D298" s="363"/>
      <c r="E298" s="363"/>
      <c r="F298" s="363"/>
      <c r="G298" s="363"/>
      <c r="H298" s="363"/>
      <c r="I298" s="363"/>
      <c r="J298" s="363"/>
      <c r="K298" s="368">
        <f ca="1">+OFFSET(K294,$D$10,0)</f>
        <v>0.44400000000000001</v>
      </c>
      <c r="L298" s="368">
        <f t="shared" ref="L298:O298" ca="1" si="55">+OFFSET(L294,$D$10,0)</f>
        <v>0.44600000000000001</v>
      </c>
      <c r="M298" s="368">
        <f t="shared" ca="1" si="55"/>
        <v>0.44800000000000001</v>
      </c>
      <c r="N298" s="368">
        <f t="shared" ca="1" si="55"/>
        <v>0.45</v>
      </c>
      <c r="O298" s="368">
        <f t="shared" ca="1" si="55"/>
        <v>0.45200000000000001</v>
      </c>
    </row>
    <row r="299" spans="2:18" ht="12.95" customHeight="1" x14ac:dyDescent="0.2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8" ht="12.95" customHeight="1" x14ac:dyDescent="0.2">
      <c r="B300" s="362" t="s">
        <v>361</v>
      </c>
      <c r="C300" s="363"/>
      <c r="D300" s="363"/>
      <c r="E300" s="363"/>
      <c r="F300" s="363"/>
      <c r="G300" s="363"/>
      <c r="H300" s="363"/>
      <c r="I300" s="363"/>
      <c r="J300" s="363"/>
      <c r="K300" s="363"/>
      <c r="L300" s="363"/>
      <c r="M300" s="363"/>
      <c r="N300" s="363"/>
      <c r="O300" s="363"/>
    </row>
    <row r="301" spans="2:18" ht="12.95" customHeight="1" x14ac:dyDescent="0.2">
      <c r="B301" s="81" t="s">
        <v>332</v>
      </c>
      <c r="C301" s="81"/>
      <c r="D301" s="81"/>
      <c r="E301" s="81"/>
      <c r="F301" s="81"/>
      <c r="G301" s="81"/>
      <c r="H301" s="81"/>
      <c r="I301" s="81"/>
      <c r="J301" s="81"/>
      <c r="K301" s="364">
        <v>0.26800000000000002</v>
      </c>
      <c r="L301" s="364">
        <v>0.26650000000000001</v>
      </c>
      <c r="M301" s="364">
        <v>0.26500000000000001</v>
      </c>
      <c r="N301" s="364">
        <v>0.26350000000000001</v>
      </c>
      <c r="O301" s="364">
        <v>0.26200000000000001</v>
      </c>
    </row>
    <row r="302" spans="2:18" ht="12.95" customHeight="1" x14ac:dyDescent="0.2">
      <c r="B302" s="81" t="s">
        <v>104</v>
      </c>
      <c r="C302" s="81"/>
      <c r="D302" s="81"/>
      <c r="E302" s="81"/>
      <c r="F302" s="81"/>
      <c r="G302" s="81"/>
      <c r="H302" s="81"/>
      <c r="I302" s="81"/>
      <c r="J302" s="81"/>
      <c r="K302" s="364">
        <v>0.27300000000000002</v>
      </c>
      <c r="L302" s="364">
        <v>0.27150000000000002</v>
      </c>
      <c r="M302" s="364">
        <v>0.27</v>
      </c>
      <c r="N302" s="364">
        <v>0.26850000000000002</v>
      </c>
      <c r="O302" s="364">
        <v>0.26700000000000002</v>
      </c>
    </row>
    <row r="303" spans="2:18" ht="12.95" customHeight="1" x14ac:dyDescent="0.2">
      <c r="B303" s="363" t="s">
        <v>333</v>
      </c>
      <c r="C303" s="363"/>
      <c r="D303" s="363"/>
      <c r="E303" s="363"/>
      <c r="F303" s="363"/>
      <c r="G303" s="363"/>
      <c r="H303" s="363"/>
      <c r="I303" s="363"/>
      <c r="J303" s="363"/>
      <c r="K303" s="365">
        <v>0.27800000000000002</v>
      </c>
      <c r="L303" s="365">
        <v>0.27650000000000002</v>
      </c>
      <c r="M303" s="365">
        <v>0.27500000000000002</v>
      </c>
      <c r="N303" s="365">
        <v>0.27350000000000002</v>
      </c>
      <c r="O303" s="365">
        <v>0.27200000000000002</v>
      </c>
    </row>
    <row r="304" spans="2:18" ht="12.95" customHeight="1" x14ac:dyDescent="0.2">
      <c r="B304" s="362" t="str">
        <f ca="1">+OFFSET(B300,$D$10,0)</f>
        <v>Mid (Base) Case</v>
      </c>
      <c r="C304" s="363"/>
      <c r="D304" s="363"/>
      <c r="E304" s="363"/>
      <c r="F304" s="363"/>
      <c r="G304" s="363"/>
      <c r="H304" s="363"/>
      <c r="I304" s="363"/>
      <c r="J304" s="363"/>
      <c r="K304" s="368">
        <f ca="1">+OFFSET(K300,$D$10,0)</f>
        <v>0.27300000000000002</v>
      </c>
      <c r="L304" s="368">
        <f t="shared" ref="L304:O304" ca="1" si="56">+OFFSET(L300,$D$10,0)</f>
        <v>0.27150000000000002</v>
      </c>
      <c r="M304" s="368">
        <f t="shared" ca="1" si="56"/>
        <v>0.27</v>
      </c>
      <c r="N304" s="368">
        <f t="shared" ca="1" si="56"/>
        <v>0.26850000000000002</v>
      </c>
      <c r="O304" s="368">
        <f t="shared" ca="1" si="56"/>
        <v>0.26700000000000002</v>
      </c>
    </row>
  </sheetData>
  <conditionalFormatting sqref="A276:A285 A259:A272 A141:A257 A1:A133 A295:A1048576">
    <cfRule type="expression" dxfId="26" priority="9">
      <formula>$D$18&gt;0</formula>
    </cfRule>
  </conditionalFormatting>
  <conditionalFormatting sqref="A258">
    <cfRule type="expression" dxfId="25" priority="4">
      <formula>$D$18&gt;0</formula>
    </cfRule>
  </conditionalFormatting>
  <conditionalFormatting sqref="A273:A275">
    <cfRule type="expression" dxfId="24" priority="3">
      <formula>$D$18&gt;0</formula>
    </cfRule>
  </conditionalFormatting>
  <conditionalFormatting sqref="A134:A138 A140">
    <cfRule type="expression" dxfId="23" priority="2">
      <formula>$D$18&gt;0</formula>
    </cfRule>
  </conditionalFormatting>
  <conditionalFormatting sqref="A139">
    <cfRule type="expression" dxfId="22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6" manualBreakCount="6">
    <brk id="58" min="1" max="14" man="1"/>
    <brk id="97" min="1" max="14" man="1"/>
    <brk id="161" min="1" max="14" man="1"/>
    <brk id="196" min="1" max="14" man="1"/>
    <brk id="222" min="1" max="14" man="1"/>
    <brk id="284" min="1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7D17-78B4-4CC2-B2F0-340D2D853931}">
  <dimension ref="A2:X229"/>
  <sheetViews>
    <sheetView showGridLines="0" topLeftCell="A145" zoomScale="115" zoomScaleNormal="115" zoomScaleSheetLayoutView="85" workbookViewId="0">
      <selection activeCell="Q164" sqref="Q164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outlineLevel="1"/>
    <col min="18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332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333</v>
      </c>
      <c r="C13" s="89"/>
      <c r="D13" s="90">
        <v>3</v>
      </c>
    </row>
    <row r="16" spans="1:17" ht="12.95" customHeight="1" x14ac:dyDescent="0.2">
      <c r="B16" s="1" t="s">
        <v>8</v>
      </c>
      <c r="D16" s="259">
        <f ca="1">+IF(SUM(K161:O161)=0,0,1)</f>
        <v>0</v>
      </c>
    </row>
    <row r="17" spans="1:15" ht="12.95" customHeight="1" x14ac:dyDescent="0.2">
      <c r="B17" s="13" t="s">
        <v>9</v>
      </c>
      <c r="C17" s="14"/>
      <c r="D17" s="262">
        <f ca="1">SUM(D16:D16)</f>
        <v>0</v>
      </c>
    </row>
    <row r="19" spans="1:15" ht="13.5" thickBot="1" x14ac:dyDescent="0.25">
      <c r="A19" s="1" t="s">
        <v>0</v>
      </c>
      <c r="B19" s="2" t="str">
        <f>+E4</f>
        <v>Gooey Cookies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95" customHeight="1" x14ac:dyDescent="0.2">
      <c r="B20" s="25" t="s">
        <v>11</v>
      </c>
    </row>
    <row r="22" spans="1:15" ht="12.95" customHeight="1" x14ac:dyDescent="0.2">
      <c r="A22" s="1" t="s">
        <v>0</v>
      </c>
      <c r="B22" s="26" t="s">
        <v>31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0"/>
    </row>
    <row r="24" spans="1:15" ht="12.95" customHeight="1" x14ac:dyDescent="0.35">
      <c r="H24" s="9" t="s">
        <v>132</v>
      </c>
      <c r="I24" s="10"/>
      <c r="J24" s="10"/>
      <c r="K24" s="10"/>
      <c r="L24" s="10"/>
      <c r="M24" s="10"/>
      <c r="N24" s="10"/>
      <c r="O24" s="10"/>
    </row>
    <row r="25" spans="1:15" ht="12.95" customHeight="1" x14ac:dyDescent="0.2">
      <c r="H25" s="47">
        <f>+I25-1</f>
        <v>2018</v>
      </c>
      <c r="I25" s="47">
        <f>+J25-1</f>
        <v>2019</v>
      </c>
      <c r="J25" s="48">
        <f>+K25-1</f>
        <v>2020</v>
      </c>
      <c r="K25" s="191">
        <f>+E7</f>
        <v>2021</v>
      </c>
      <c r="L25" s="39">
        <f>+K25+1</f>
        <v>2022</v>
      </c>
      <c r="M25" s="39">
        <f>+L25+1</f>
        <v>2023</v>
      </c>
      <c r="N25" s="39">
        <f>+M25+1</f>
        <v>2024</v>
      </c>
      <c r="O25" s="39">
        <f>+N25+1</f>
        <v>2025</v>
      </c>
    </row>
    <row r="26" spans="1:15" ht="12.95" customHeight="1" x14ac:dyDescent="0.2">
      <c r="B26" s="1" t="s">
        <v>14</v>
      </c>
      <c r="H26" s="49">
        <v>1209.9228781500001</v>
      </c>
      <c r="I26" s="49">
        <v>1288.5678652297499</v>
      </c>
      <c r="J26" s="50">
        <v>1378.7676157958326</v>
      </c>
      <c r="K26" s="195">
        <f ca="1">+J26*(1+K51)</f>
        <v>1478.7282679410305</v>
      </c>
      <c r="L26" s="195">
        <f ca="1">+K26*(1+L51)</f>
        <v>1589.6328880366079</v>
      </c>
      <c r="M26" s="195">
        <f ca="1">+L26*(1+M51)</f>
        <v>1712.8294368594452</v>
      </c>
      <c r="N26" s="195">
        <f ca="1">+M26*(1+N51)</f>
        <v>1849.8557918082008</v>
      </c>
      <c r="O26" s="195">
        <f ca="1">+N26*(1+O51)</f>
        <v>2002.4688946323774</v>
      </c>
    </row>
    <row r="27" spans="1:15" ht="12.95" customHeight="1" x14ac:dyDescent="0.2">
      <c r="B27" s="20" t="s">
        <v>32</v>
      </c>
      <c r="C27" s="20"/>
      <c r="D27" s="20"/>
      <c r="E27" s="20"/>
      <c r="F27" s="20"/>
      <c r="G27" s="20"/>
      <c r="H27" s="51">
        <v>-679.97665752030014</v>
      </c>
      <c r="I27" s="51">
        <v>-721.59800452866</v>
      </c>
      <c r="J27" s="52">
        <v>-769.35232961407462</v>
      </c>
      <c r="K27" s="153">
        <f ca="1">-(K26*(1-K52))</f>
        <v>-822.17291697521307</v>
      </c>
      <c r="L27" s="153">
        <f ca="1">-(L26*(1-L52))</f>
        <v>-880.65661997228085</v>
      </c>
      <c r="M27" s="153">
        <f ca="1">-(M26*(1-M52))</f>
        <v>-945.48184914641388</v>
      </c>
      <c r="N27" s="153">
        <f ca="1">-(N26*(1-N52))</f>
        <v>-1017.4206854945105</v>
      </c>
      <c r="O27" s="153">
        <f ca="1">-(O26*(1-O52))</f>
        <v>-1097.3529542585429</v>
      </c>
    </row>
    <row r="28" spans="1:15" ht="12.95" customHeight="1" x14ac:dyDescent="0.2">
      <c r="B28" s="1" t="s">
        <v>33</v>
      </c>
      <c r="H28" s="53">
        <f t="shared" ref="H28:O28" si="0">SUM(H26:H27)</f>
        <v>529.94622062969995</v>
      </c>
      <c r="I28" s="53">
        <f t="shared" si="0"/>
        <v>566.96986070108994</v>
      </c>
      <c r="J28" s="54">
        <f t="shared" si="0"/>
        <v>609.41528618175801</v>
      </c>
      <c r="K28" s="134">
        <f t="shared" ca="1" si="0"/>
        <v>656.55535096581741</v>
      </c>
      <c r="L28" s="135">
        <f t="shared" ca="1" si="0"/>
        <v>708.97626806432709</v>
      </c>
      <c r="M28" s="135">
        <f t="shared" ca="1" si="0"/>
        <v>767.34758771303132</v>
      </c>
      <c r="N28" s="135">
        <f t="shared" ca="1" si="0"/>
        <v>832.43510631369031</v>
      </c>
      <c r="O28" s="135">
        <f t="shared" ca="1" si="0"/>
        <v>905.11594037383452</v>
      </c>
    </row>
    <row r="29" spans="1:15" ht="12.95" customHeight="1" x14ac:dyDescent="0.2">
      <c r="B29" s="20" t="s">
        <v>34</v>
      </c>
      <c r="C29" s="20"/>
      <c r="D29" s="20"/>
      <c r="E29" s="20"/>
      <c r="F29" s="20"/>
      <c r="G29" s="20"/>
      <c r="H29" s="51">
        <v>-335.75359868662508</v>
      </c>
      <c r="I29" s="51">
        <v>-355.64473080341099</v>
      </c>
      <c r="J29" s="52">
        <v>-378.47171053595611</v>
      </c>
      <c r="K29" s="134">
        <f ca="1">-K26*K53</f>
        <v>-403.69281714790134</v>
      </c>
      <c r="L29" s="135">
        <f ca="1">-L26*L53</f>
        <v>-431.58532910193907</v>
      </c>
      <c r="M29" s="135">
        <f ca="1">-M26*M53</f>
        <v>-462.46394795205021</v>
      </c>
      <c r="N29" s="135">
        <f ca="1">-N26*N53</f>
        <v>-496.68628010050196</v>
      </c>
      <c r="O29" s="135">
        <f ca="1">-O26*O53</f>
        <v>-534.65919486684481</v>
      </c>
    </row>
    <row r="30" spans="1:15" ht="12.95" customHeight="1" x14ac:dyDescent="0.2">
      <c r="B30" s="21" t="s">
        <v>35</v>
      </c>
      <c r="C30" s="21"/>
      <c r="D30" s="21"/>
      <c r="E30" s="21"/>
      <c r="F30" s="21"/>
      <c r="G30" s="21"/>
      <c r="H30" s="55">
        <f t="shared" ref="H30:O30" si="1">+SUM(H28:H29)</f>
        <v>194.19262194307487</v>
      </c>
      <c r="I30" s="55">
        <f t="shared" si="1"/>
        <v>211.32512989767895</v>
      </c>
      <c r="J30" s="56">
        <f t="shared" si="1"/>
        <v>230.9435756458019</v>
      </c>
      <c r="K30" s="196">
        <f t="shared" ca="1" si="1"/>
        <v>252.86253381791607</v>
      </c>
      <c r="L30" s="196">
        <f t="shared" ca="1" si="1"/>
        <v>277.39093896238802</v>
      </c>
      <c r="M30" s="196">
        <f t="shared" ca="1" si="1"/>
        <v>304.88363976098111</v>
      </c>
      <c r="N30" s="196">
        <f t="shared" ca="1" si="1"/>
        <v>335.74882621318835</v>
      </c>
      <c r="O30" s="196">
        <f t="shared" ca="1" si="1"/>
        <v>370.45674550698971</v>
      </c>
    </row>
    <row r="31" spans="1:15" ht="12.95" customHeight="1" x14ac:dyDescent="0.2">
      <c r="B31" s="1" t="s">
        <v>36</v>
      </c>
      <c r="H31" s="51">
        <v>3.4200303417144116</v>
      </c>
      <c r="I31" s="51">
        <v>4.8107943213989754</v>
      </c>
      <c r="J31" s="52">
        <v>6.3350607435463786</v>
      </c>
      <c r="K31" s="134">
        <f ca="1">+K181</f>
        <v>0.05</v>
      </c>
      <c r="L31" s="135">
        <f ca="1">+L181</f>
        <v>1.994450358872349</v>
      </c>
      <c r="M31" s="135">
        <f ca="1">+M181</f>
        <v>5.0591405950028516</v>
      </c>
      <c r="N31" s="135">
        <f ca="1">+N181</f>
        <v>7.4208762611095818</v>
      </c>
      <c r="O31" s="135">
        <f ca="1">+O181</f>
        <v>10.040043526546198</v>
      </c>
    </row>
    <row r="32" spans="1:15" ht="12.95" customHeight="1" x14ac:dyDescent="0.2">
      <c r="B32" s="20" t="s">
        <v>97</v>
      </c>
      <c r="C32" s="20"/>
      <c r="D32" s="20"/>
      <c r="E32" s="20"/>
      <c r="F32" s="20"/>
      <c r="G32" s="20"/>
      <c r="H32" s="51">
        <v>-2.5</v>
      </c>
      <c r="I32" s="51">
        <v>-2.5</v>
      </c>
      <c r="J32" s="52">
        <v>-2.5</v>
      </c>
      <c r="K32" s="217">
        <f ca="1">-(K158+K169)</f>
        <v>9.1947278692558623</v>
      </c>
      <c r="L32" s="217">
        <f ca="1">-(L158+L169)</f>
        <v>4.5973639346279311</v>
      </c>
      <c r="M32" s="217">
        <f ca="1">-(M158+M169)</f>
        <v>0</v>
      </c>
      <c r="N32" s="217">
        <f ca="1">-(N158+N169)</f>
        <v>0</v>
      </c>
      <c r="O32" s="217">
        <f ca="1">-(O158+O169)</f>
        <v>0</v>
      </c>
    </row>
    <row r="33" spans="2:15" ht="12.95" customHeight="1" x14ac:dyDescent="0.2">
      <c r="B33" s="1" t="s">
        <v>37</v>
      </c>
      <c r="H33" s="53">
        <f t="shared" ref="H33:O33" si="2">+SUM(H30:H32)</f>
        <v>195.11265228478928</v>
      </c>
      <c r="I33" s="53">
        <f t="shared" si="2"/>
        <v>213.63592421907794</v>
      </c>
      <c r="J33" s="54">
        <f t="shared" si="2"/>
        <v>234.77863638934826</v>
      </c>
      <c r="K33" s="134">
        <f t="shared" ca="1" si="2"/>
        <v>262.10726168717196</v>
      </c>
      <c r="L33" s="134">
        <f t="shared" ca="1" si="2"/>
        <v>283.98275325588833</v>
      </c>
      <c r="M33" s="134">
        <f t="shared" ca="1" si="2"/>
        <v>309.94278035598398</v>
      </c>
      <c r="N33" s="134">
        <f t="shared" ca="1" si="2"/>
        <v>343.16970247429794</v>
      </c>
      <c r="O33" s="134">
        <f t="shared" ca="1" si="2"/>
        <v>380.49678903353589</v>
      </c>
    </row>
    <row r="34" spans="2:15" ht="12.95" customHeight="1" x14ac:dyDescent="0.2">
      <c r="B34" s="1" t="s">
        <v>38</v>
      </c>
      <c r="H34" s="51">
        <v>-50.729289594045213</v>
      </c>
      <c r="I34" s="51">
        <v>-55.545340296960262</v>
      </c>
      <c r="J34" s="52">
        <v>-61.04244546123055</v>
      </c>
      <c r="K34" s="134">
        <f ca="1">-K33*K58</f>
        <v>-68.147888038664718</v>
      </c>
      <c r="L34" s="135">
        <f ca="1">-L33*L58</f>
        <v>-73.835515846530967</v>
      </c>
      <c r="M34" s="135">
        <f ca="1">-M33*M58</f>
        <v>-80.585122892555844</v>
      </c>
      <c r="N34" s="135">
        <f ca="1">-N33*N58</f>
        <v>-89.224122643317472</v>
      </c>
      <c r="O34" s="135">
        <f ca="1">-O33*O58</f>
        <v>-98.929165148719335</v>
      </c>
    </row>
    <row r="35" spans="2:15" s="93" customFormat="1" ht="12.95" customHeight="1" x14ac:dyDescent="0.2">
      <c r="B35" s="16" t="s">
        <v>39</v>
      </c>
      <c r="C35" s="16"/>
      <c r="D35" s="16"/>
      <c r="E35" s="16"/>
      <c r="F35" s="16"/>
      <c r="G35" s="16"/>
      <c r="H35" s="55">
        <f t="shared" ref="H35:O35" si="3">+SUM(H33:H34)</f>
        <v>144.38336269074406</v>
      </c>
      <c r="I35" s="55">
        <f t="shared" si="3"/>
        <v>158.09058392211767</v>
      </c>
      <c r="J35" s="56">
        <f t="shared" si="3"/>
        <v>173.73619092811771</v>
      </c>
      <c r="K35" s="145">
        <f t="shared" ca="1" si="3"/>
        <v>193.95937364850724</v>
      </c>
      <c r="L35" s="145">
        <f t="shared" ca="1" si="3"/>
        <v>210.14723740935736</v>
      </c>
      <c r="M35" s="145">
        <f t="shared" ca="1" si="3"/>
        <v>229.35765746342815</v>
      </c>
      <c r="N35" s="145">
        <f t="shared" ca="1" si="3"/>
        <v>253.94557983098048</v>
      </c>
      <c r="O35" s="145">
        <f t="shared" ca="1" si="3"/>
        <v>281.56762388481656</v>
      </c>
    </row>
    <row r="36" spans="2:15" ht="12.95" customHeight="1" x14ac:dyDescent="0.2">
      <c r="H36" s="57"/>
      <c r="I36" s="57"/>
      <c r="J36" s="58"/>
      <c r="K36" s="198"/>
      <c r="L36" s="199"/>
      <c r="M36" s="199"/>
      <c r="N36" s="199"/>
      <c r="O36" s="199"/>
    </row>
    <row r="37" spans="2:15" ht="12.95" customHeight="1" x14ac:dyDescent="0.2">
      <c r="B37" s="95" t="s">
        <v>109</v>
      </c>
      <c r="H37" s="215">
        <v>100.91013022450269</v>
      </c>
      <c r="I37" s="215">
        <v>101.22532805211092</v>
      </c>
      <c r="J37" s="216">
        <v>101.5551580431645</v>
      </c>
      <c r="K37" s="193">
        <f ca="1">+K190</f>
        <v>101.89686926219814</v>
      </c>
      <c r="L37" s="193">
        <f ca="1">+L190</f>
        <v>102.25037131335471</v>
      </c>
      <c r="M37" s="193">
        <f ca="1">+M190</f>
        <v>102.61458004154703</v>
      </c>
      <c r="N37" s="193">
        <f ca="1">+N190</f>
        <v>102.9884647971969</v>
      </c>
      <c r="O37" s="193">
        <f ca="1">+O190</f>
        <v>103.37104759455143</v>
      </c>
    </row>
    <row r="38" spans="2:15" s="92" customFormat="1" ht="12.95" customHeight="1" x14ac:dyDescent="0.2">
      <c r="B38" s="169" t="s">
        <v>106</v>
      </c>
      <c r="C38" s="16"/>
      <c r="D38" s="16"/>
      <c r="E38" s="16"/>
      <c r="F38" s="16"/>
      <c r="G38" s="16"/>
      <c r="H38" s="126">
        <f t="shared" ref="H38:O38" si="4">+H35/H37</f>
        <v>1.4308113800816931</v>
      </c>
      <c r="I38" s="126">
        <f t="shared" si="4"/>
        <v>1.5617690450035633</v>
      </c>
      <c r="J38" s="127">
        <f t="shared" si="4"/>
        <v>1.7107569352043521</v>
      </c>
      <c r="K38" s="200">
        <f t="shared" ca="1" si="4"/>
        <v>1.9034870752448387</v>
      </c>
      <c r="L38" s="200">
        <f t="shared" ca="1" si="4"/>
        <v>2.0552222423265709</v>
      </c>
      <c r="M38" s="200">
        <f t="shared" ca="1" si="4"/>
        <v>2.2351371254510308</v>
      </c>
      <c r="N38" s="200">
        <f t="shared" ca="1" si="4"/>
        <v>2.4657672131635882</v>
      </c>
      <c r="O38" s="200">
        <f t="shared" ca="1" si="4"/>
        <v>2.7238538298383044</v>
      </c>
    </row>
    <row r="39" spans="2:15" ht="12.95" customHeight="1" x14ac:dyDescent="0.2">
      <c r="B39" s="96"/>
      <c r="H39" s="91"/>
      <c r="I39" s="91"/>
      <c r="J39" s="59"/>
      <c r="K39" s="198"/>
      <c r="L39" s="199"/>
      <c r="M39" s="199"/>
      <c r="N39" s="199"/>
      <c r="O39" s="199"/>
    </row>
    <row r="40" spans="2:15" ht="12.95" customHeight="1" x14ac:dyDescent="0.2">
      <c r="B40" s="95" t="s">
        <v>107</v>
      </c>
      <c r="H40" s="215">
        <v>105.91013022450269</v>
      </c>
      <c r="I40" s="215">
        <v>106.22532805211092</v>
      </c>
      <c r="J40" s="216">
        <v>106.5551580431645</v>
      </c>
      <c r="K40" s="193">
        <f ca="1">+K192</f>
        <v>106.89686926219814</v>
      </c>
      <c r="L40" s="193">
        <f ca="1">+L192</f>
        <v>107.25037131335471</v>
      </c>
      <c r="M40" s="193">
        <f ca="1">+M192</f>
        <v>107.61458004154703</v>
      </c>
      <c r="N40" s="193">
        <f ca="1">+N192</f>
        <v>107.9884647971969</v>
      </c>
      <c r="O40" s="193">
        <f ca="1">+O192</f>
        <v>108.37104759455143</v>
      </c>
    </row>
    <row r="41" spans="2:15" s="92" customFormat="1" ht="12.95" customHeight="1" x14ac:dyDescent="0.2">
      <c r="B41" s="169" t="s">
        <v>108</v>
      </c>
      <c r="C41" s="16"/>
      <c r="D41" s="16"/>
      <c r="E41" s="16"/>
      <c r="F41" s="16"/>
      <c r="G41" s="16"/>
      <c r="H41" s="126">
        <f t="shared" ref="H41:O41" si="5">+H35/H40</f>
        <v>1.3632630078415335</v>
      </c>
      <c r="I41" s="126">
        <f t="shared" si="5"/>
        <v>1.4882569611323133</v>
      </c>
      <c r="J41" s="127">
        <f t="shared" si="5"/>
        <v>1.6304812842353329</v>
      </c>
      <c r="K41" s="200">
        <f t="shared" ca="1" si="5"/>
        <v>1.8144532668469548</v>
      </c>
      <c r="L41" s="200">
        <f t="shared" ca="1" si="5"/>
        <v>1.959408017295974</v>
      </c>
      <c r="M41" s="200">
        <f t="shared" ca="1" si="5"/>
        <v>2.1312879479237803</v>
      </c>
      <c r="N41" s="200">
        <f t="shared" ca="1" si="5"/>
        <v>2.3515991296653036</v>
      </c>
      <c r="O41" s="200">
        <f t="shared" ca="1" si="5"/>
        <v>2.5981812498320163</v>
      </c>
    </row>
    <row r="42" spans="2:15" ht="12.95" customHeight="1" x14ac:dyDescent="0.2">
      <c r="H42" s="91"/>
      <c r="I42" s="91"/>
      <c r="J42" s="59"/>
      <c r="K42" s="198"/>
      <c r="L42" s="199"/>
      <c r="M42" s="199"/>
      <c r="N42" s="199"/>
      <c r="O42" s="199"/>
    </row>
    <row r="43" spans="2:15" ht="12.95" customHeight="1" x14ac:dyDescent="0.2">
      <c r="B43" s="28" t="s">
        <v>40</v>
      </c>
      <c r="C43" s="20"/>
      <c r="D43" s="20"/>
      <c r="E43" s="20"/>
      <c r="F43" s="20"/>
      <c r="G43" s="20"/>
      <c r="H43" s="29"/>
      <c r="I43" s="29"/>
      <c r="J43" s="59"/>
      <c r="K43" s="201"/>
      <c r="L43" s="202"/>
      <c r="M43" s="202"/>
      <c r="N43" s="202"/>
      <c r="O43" s="202"/>
    </row>
    <row r="44" spans="2:15" ht="12.95" customHeight="1" x14ac:dyDescent="0.2">
      <c r="B44" s="1" t="s">
        <v>41</v>
      </c>
      <c r="H44" s="53">
        <f t="shared" ref="H44:O44" si="6">+H30</f>
        <v>194.19262194307487</v>
      </c>
      <c r="I44" s="53">
        <f t="shared" si="6"/>
        <v>211.32512989767895</v>
      </c>
      <c r="J44" s="54">
        <f t="shared" si="6"/>
        <v>230.9435756458019</v>
      </c>
      <c r="K44" s="197">
        <f t="shared" ca="1" si="6"/>
        <v>252.86253381791607</v>
      </c>
      <c r="L44" s="197">
        <f t="shared" ca="1" si="6"/>
        <v>277.39093896238802</v>
      </c>
      <c r="M44" s="197">
        <f t="shared" ca="1" si="6"/>
        <v>304.88363976098111</v>
      </c>
      <c r="N44" s="197">
        <f t="shared" ca="1" si="6"/>
        <v>335.74882621318835</v>
      </c>
      <c r="O44" s="197">
        <f t="shared" ca="1" si="6"/>
        <v>370.45674550698971</v>
      </c>
    </row>
    <row r="45" spans="2:15" ht="12.95" customHeight="1" x14ac:dyDescent="0.2">
      <c r="B45" s="20" t="s">
        <v>42</v>
      </c>
      <c r="C45" s="20"/>
      <c r="D45" s="20"/>
      <c r="E45" s="20"/>
      <c r="F45" s="20"/>
      <c r="G45" s="20"/>
      <c r="H45" s="132">
        <v>13.30915165965</v>
      </c>
      <c r="I45" s="132">
        <v>15.462814382756999</v>
      </c>
      <c r="J45" s="133">
        <v>17.923979005345824</v>
      </c>
      <c r="K45" s="134">
        <f ca="1">+K82</f>
        <v>19.962831617203911</v>
      </c>
      <c r="L45" s="134">
        <f ca="1">+L82</f>
        <v>22.254860432512512</v>
      </c>
      <c r="M45" s="134">
        <f ca="1">+M82</f>
        <v>24.836026834461958</v>
      </c>
      <c r="N45" s="134">
        <f ca="1">+N82</f>
        <v>27.747836877123014</v>
      </c>
      <c r="O45" s="134">
        <f ca="1">+O82</f>
        <v>31.038267866801853</v>
      </c>
    </row>
    <row r="46" spans="2:15" ht="12.95" customHeight="1" x14ac:dyDescent="0.2">
      <c r="B46" s="1" t="s">
        <v>19</v>
      </c>
      <c r="H46" s="53">
        <f t="shared" ref="H46:O46" si="7">SUM(H44:H45)</f>
        <v>207.50177360272488</v>
      </c>
      <c r="I46" s="53">
        <f t="shared" si="7"/>
        <v>226.78794428043594</v>
      </c>
      <c r="J46" s="54">
        <f t="shared" si="7"/>
        <v>248.86755465114771</v>
      </c>
      <c r="K46" s="197">
        <f t="shared" ca="1" si="7"/>
        <v>272.82536543511998</v>
      </c>
      <c r="L46" s="197">
        <f t="shared" ca="1" si="7"/>
        <v>299.64579939490051</v>
      </c>
      <c r="M46" s="197">
        <f t="shared" ca="1" si="7"/>
        <v>329.71966659544307</v>
      </c>
      <c r="N46" s="197">
        <f t="shared" ca="1" si="7"/>
        <v>363.49666309031136</v>
      </c>
      <c r="O46" s="197">
        <f t="shared" ca="1" si="7"/>
        <v>401.49501337379155</v>
      </c>
    </row>
    <row r="47" spans="2:15" ht="12.95" customHeight="1" x14ac:dyDescent="0.2">
      <c r="B47" s="1" t="s">
        <v>161</v>
      </c>
      <c r="H47" s="51">
        <v>3.3</v>
      </c>
      <c r="I47" s="51">
        <v>4.5999999999999996</v>
      </c>
      <c r="J47" s="52">
        <v>2.5</v>
      </c>
      <c r="K47" s="226">
        <v>0</v>
      </c>
      <c r="L47" s="132">
        <v>0</v>
      </c>
      <c r="M47" s="132">
        <v>0</v>
      </c>
      <c r="N47" s="132">
        <v>0</v>
      </c>
      <c r="O47" s="132">
        <v>0</v>
      </c>
    </row>
    <row r="48" spans="2:15" s="92" customFormat="1" ht="12.95" customHeight="1" x14ac:dyDescent="0.2">
      <c r="B48" s="16" t="s">
        <v>43</v>
      </c>
      <c r="C48" s="16"/>
      <c r="D48" s="16"/>
      <c r="E48" s="16"/>
      <c r="F48" s="16"/>
      <c r="G48" s="16"/>
      <c r="H48" s="69">
        <f t="shared" ref="H48:O48" si="8">+SUM(H46:H47)</f>
        <v>210.80177360272489</v>
      </c>
      <c r="I48" s="69">
        <f t="shared" si="8"/>
        <v>231.38794428043593</v>
      </c>
      <c r="J48" s="70">
        <f t="shared" si="8"/>
        <v>251.36755465114771</v>
      </c>
      <c r="K48" s="145">
        <f t="shared" ca="1" si="8"/>
        <v>272.82536543511998</v>
      </c>
      <c r="L48" s="145">
        <f t="shared" ca="1" si="8"/>
        <v>299.64579939490051</v>
      </c>
      <c r="M48" s="145">
        <f t="shared" ca="1" si="8"/>
        <v>329.71966659544307</v>
      </c>
      <c r="N48" s="145">
        <f t="shared" ca="1" si="8"/>
        <v>363.49666309031136</v>
      </c>
      <c r="O48" s="145">
        <f t="shared" ca="1" si="8"/>
        <v>401.49501337379155</v>
      </c>
    </row>
    <row r="49" spans="1:15" ht="12.95" customHeight="1" x14ac:dyDescent="0.2">
      <c r="J49" s="35"/>
      <c r="K49" s="93"/>
    </row>
    <row r="50" spans="1:15" ht="12.95" customHeight="1" x14ac:dyDescent="0.2">
      <c r="B50" s="28" t="s">
        <v>44</v>
      </c>
      <c r="C50" s="20"/>
      <c r="D50" s="20"/>
      <c r="E50" s="20"/>
      <c r="F50" s="20"/>
      <c r="G50" s="20"/>
      <c r="H50" s="20"/>
      <c r="I50" s="20"/>
      <c r="J50" s="60"/>
      <c r="K50" s="20"/>
      <c r="L50" s="20"/>
      <c r="M50" s="20"/>
      <c r="N50" s="20"/>
      <c r="O50" s="20"/>
    </row>
    <row r="51" spans="1:15" ht="12.95" customHeight="1" x14ac:dyDescent="0.2">
      <c r="B51" s="1" t="s">
        <v>151</v>
      </c>
      <c r="H51" s="22"/>
      <c r="I51" s="61">
        <f>+I26/H26-1</f>
        <v>6.4999999999999947E-2</v>
      </c>
      <c r="J51" s="62">
        <f>+J26/I26-1</f>
        <v>7.0000000000000062E-2</v>
      </c>
      <c r="K51" s="371">
        <f ca="1">+K217</f>
        <v>7.2500000000000064E-2</v>
      </c>
      <c r="L51" s="61">
        <f ca="1">+L217</f>
        <v>7.5000000000000067E-2</v>
      </c>
      <c r="M51" s="61">
        <f ca="1">+M217</f>
        <v>7.7500000000000069E-2</v>
      </c>
      <c r="N51" s="61">
        <f ca="1">+N217</f>
        <v>8.0000000000000071E-2</v>
      </c>
      <c r="O51" s="61">
        <f ca="1">+O217</f>
        <v>8.2500000000000073E-2</v>
      </c>
    </row>
    <row r="52" spans="1:15" ht="12.95" customHeight="1" x14ac:dyDescent="0.2">
      <c r="B52" s="1" t="s">
        <v>45</v>
      </c>
      <c r="H52" s="61">
        <f>+H28/H26</f>
        <v>0.43799999999999994</v>
      </c>
      <c r="I52" s="61">
        <f>+I28/I26</f>
        <v>0.44</v>
      </c>
      <c r="J52" s="62">
        <f>+J28/J26</f>
        <v>0.442</v>
      </c>
      <c r="K52" s="371">
        <f ca="1">+K223</f>
        <v>0.44400000000000001</v>
      </c>
      <c r="L52" s="61">
        <f ca="1">+L223</f>
        <v>0.44600000000000001</v>
      </c>
      <c r="M52" s="61">
        <f ca="1">+M223</f>
        <v>0.44800000000000001</v>
      </c>
      <c r="N52" s="61">
        <f ca="1">+N223</f>
        <v>0.45</v>
      </c>
      <c r="O52" s="61">
        <f ca="1">+O223</f>
        <v>0.45200000000000001</v>
      </c>
    </row>
    <row r="53" spans="1:15" ht="12.95" customHeight="1" x14ac:dyDescent="0.2">
      <c r="B53" s="1" t="s">
        <v>46</v>
      </c>
      <c r="H53" s="61">
        <f>-H29/H26</f>
        <v>0.27750000000000002</v>
      </c>
      <c r="I53" s="61">
        <f>-I29/I26</f>
        <v>0.27600000000000002</v>
      </c>
      <c r="J53" s="62">
        <f>-J29/J26</f>
        <v>0.27450000000000002</v>
      </c>
      <c r="K53" s="371">
        <f ca="1">+K229</f>
        <v>0.27300000000000002</v>
      </c>
      <c r="L53" s="61">
        <f ca="1">+L229</f>
        <v>0.27150000000000002</v>
      </c>
      <c r="M53" s="61">
        <f ca="1">+M229</f>
        <v>0.27</v>
      </c>
      <c r="N53" s="61">
        <f ca="1">+N229</f>
        <v>0.26850000000000002</v>
      </c>
      <c r="O53" s="61">
        <f ca="1">+O229</f>
        <v>0.26700000000000002</v>
      </c>
    </row>
    <row r="54" spans="1:15" ht="12.95" customHeight="1" x14ac:dyDescent="0.2">
      <c r="B54" s="1" t="s">
        <v>47</v>
      </c>
      <c r="H54" s="63">
        <f t="shared" ref="H54:O54" si="9">+H48/H26</f>
        <v>0.17422744656671477</v>
      </c>
      <c r="I54" s="63">
        <f t="shared" si="9"/>
        <v>0.17956985466122871</v>
      </c>
      <c r="J54" s="64">
        <f t="shared" si="9"/>
        <v>0.18231321346059967</v>
      </c>
      <c r="K54" s="190">
        <f t="shared" ca="1" si="9"/>
        <v>0.18449999999999991</v>
      </c>
      <c r="L54" s="63">
        <f t="shared" ca="1" si="9"/>
        <v>0.18849999999999995</v>
      </c>
      <c r="M54" s="63">
        <f t="shared" ca="1" si="9"/>
        <v>0.19249999999999992</v>
      </c>
      <c r="N54" s="63">
        <f t="shared" ca="1" si="9"/>
        <v>0.19649999999999995</v>
      </c>
      <c r="O54" s="63">
        <f t="shared" ca="1" si="9"/>
        <v>0.20049999999999993</v>
      </c>
    </row>
    <row r="55" spans="1:15" ht="12.95" customHeight="1" x14ac:dyDescent="0.2">
      <c r="B55" s="1" t="s">
        <v>152</v>
      </c>
      <c r="I55" s="63">
        <f t="shared" ref="I55:O55" si="10">+I48/H48-1</f>
        <v>9.7656534505765391E-2</v>
      </c>
      <c r="J55" s="64">
        <f t="shared" si="10"/>
        <v>8.6346807880781418E-2</v>
      </c>
      <c r="K55" s="190">
        <f t="shared" ca="1" si="10"/>
        <v>8.536428185312861E-2</v>
      </c>
      <c r="L55" s="63">
        <f t="shared" ca="1" si="10"/>
        <v>9.8306233062330994E-2</v>
      </c>
      <c r="M55" s="63">
        <f t="shared" ca="1" si="10"/>
        <v>0.10036472148541109</v>
      </c>
      <c r="N55" s="63">
        <f t="shared" ca="1" si="10"/>
        <v>0.10244155844155856</v>
      </c>
      <c r="O55" s="63">
        <f t="shared" ca="1" si="10"/>
        <v>0.10453562340966926</v>
      </c>
    </row>
    <row r="56" spans="1:15" ht="12.95" customHeight="1" x14ac:dyDescent="0.2">
      <c r="B56" s="1" t="s">
        <v>136</v>
      </c>
      <c r="I56" s="63">
        <f t="shared" ref="I56:O56" si="11">+I35/H35-1</f>
        <v>9.493629304598783E-2</v>
      </c>
      <c r="J56" s="64">
        <f t="shared" si="11"/>
        <v>9.896609031254977E-2</v>
      </c>
      <c r="K56" s="190">
        <f t="shared" ca="1" si="11"/>
        <v>0.11640166975202515</v>
      </c>
      <c r="L56" s="63">
        <f t="shared" ca="1" si="11"/>
        <v>8.3460074428708619E-2</v>
      </c>
      <c r="M56" s="63">
        <f t="shared" ca="1" si="11"/>
        <v>9.1414097519872506E-2</v>
      </c>
      <c r="N56" s="63">
        <f t="shared" ca="1" si="11"/>
        <v>0.10720340728747169</v>
      </c>
      <c r="O56" s="63">
        <f t="shared" ca="1" si="11"/>
        <v>0.10877150951877401</v>
      </c>
    </row>
    <row r="57" spans="1:15" ht="12.95" customHeight="1" x14ac:dyDescent="0.2">
      <c r="B57" s="1" t="s">
        <v>137</v>
      </c>
      <c r="I57" s="63">
        <f t="shared" ref="I57:O57" si="12">+I41/H41-1</f>
        <v>9.168733587855793E-2</v>
      </c>
      <c r="J57" s="64">
        <f t="shared" si="12"/>
        <v>9.5564359393159437E-2</v>
      </c>
      <c r="K57" s="190">
        <f t="shared" ca="1" si="12"/>
        <v>0.11283293122735949</v>
      </c>
      <c r="L57" s="63">
        <f t="shared" ca="1" si="12"/>
        <v>7.9888941257171497E-2</v>
      </c>
      <c r="M57" s="63">
        <f t="shared" ca="1" si="12"/>
        <v>8.7720336505004326E-2</v>
      </c>
      <c r="N57" s="63">
        <f t="shared" ca="1" si="12"/>
        <v>0.10336997492813782</v>
      </c>
      <c r="O57" s="63">
        <f t="shared" ca="1" si="12"/>
        <v>0.10485720846554658</v>
      </c>
    </row>
    <row r="58" spans="1:15" ht="12.95" customHeight="1" x14ac:dyDescent="0.2">
      <c r="B58" s="1" t="s">
        <v>48</v>
      </c>
      <c r="H58" s="61">
        <f>-H34/H33</f>
        <v>0.26</v>
      </c>
      <c r="I58" s="61">
        <f>-I34/I33</f>
        <v>0.26</v>
      </c>
      <c r="J58" s="62">
        <f>-J34/J33</f>
        <v>0.26</v>
      </c>
      <c r="K58" s="113">
        <v>0.26</v>
      </c>
      <c r="L58" s="22">
        <v>0.26</v>
      </c>
      <c r="M58" s="22">
        <v>0.26</v>
      </c>
      <c r="N58" s="22">
        <v>0.26</v>
      </c>
      <c r="O58" s="22">
        <v>0.26</v>
      </c>
    </row>
    <row r="59" spans="1:15" ht="12.95" customHeight="1" x14ac:dyDescent="0.2">
      <c r="B59" s="20" t="s">
        <v>49</v>
      </c>
      <c r="C59" s="20"/>
      <c r="D59" s="20"/>
      <c r="E59" s="20"/>
      <c r="F59" s="20"/>
      <c r="G59" s="20"/>
      <c r="H59" s="65">
        <f t="shared" ref="H59:O59" si="13">+H45/H26</f>
        <v>1.0999999999999999E-2</v>
      </c>
      <c r="I59" s="65">
        <f t="shared" si="13"/>
        <v>1.2E-2</v>
      </c>
      <c r="J59" s="167">
        <f t="shared" si="13"/>
        <v>1.2999999999999999E-2</v>
      </c>
      <c r="K59" s="76">
        <f t="shared" ca="1" si="13"/>
        <v>1.35E-2</v>
      </c>
      <c r="L59" s="76">
        <f t="shared" ca="1" si="13"/>
        <v>1.4E-2</v>
      </c>
      <c r="M59" s="76">
        <f t="shared" ca="1" si="13"/>
        <v>1.4500000000000001E-2</v>
      </c>
      <c r="N59" s="76">
        <f t="shared" ca="1" si="13"/>
        <v>1.5000000000000001E-2</v>
      </c>
      <c r="O59" s="76">
        <f t="shared" ca="1" si="13"/>
        <v>1.5500000000000002E-2</v>
      </c>
    </row>
    <row r="60" spans="1:15" ht="12.95" customHeight="1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2.95" customHeight="1" x14ac:dyDescent="0.2">
      <c r="A61" s="1" t="s">
        <v>0</v>
      </c>
      <c r="B61" s="26" t="s">
        <v>382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30"/>
    </row>
    <row r="62" spans="1:15" ht="12.95" customHeight="1" x14ac:dyDescent="0.2">
      <c r="H62" s="67"/>
      <c r="I62" s="67"/>
    </row>
    <row r="63" spans="1:15" ht="15" x14ac:dyDescent="0.35">
      <c r="H63" s="109" t="str">
        <f>+H24</f>
        <v>Fiscal Year Ended 12/31</v>
      </c>
      <c r="I63" s="110"/>
      <c r="J63" s="110"/>
      <c r="K63" s="109"/>
      <c r="L63" s="110"/>
      <c r="M63" s="110"/>
      <c r="N63" s="110"/>
      <c r="O63" s="110"/>
    </row>
    <row r="64" spans="1:15" ht="12.95" customHeight="1" x14ac:dyDescent="0.2">
      <c r="H64" s="32">
        <f>+$H$25</f>
        <v>2018</v>
      </c>
      <c r="I64" s="32">
        <f>+$I$25</f>
        <v>2019</v>
      </c>
      <c r="J64" s="33">
        <f>+$J$25</f>
        <v>2020</v>
      </c>
      <c r="K64" s="11">
        <f>+$K$25</f>
        <v>2021</v>
      </c>
      <c r="L64" s="11">
        <f>+$L$25</f>
        <v>2022</v>
      </c>
      <c r="M64" s="11">
        <f>+$M$25</f>
        <v>2023</v>
      </c>
      <c r="N64" s="11">
        <f>+$N$25</f>
        <v>2024</v>
      </c>
      <c r="O64" s="11">
        <f>+$O$25</f>
        <v>2025</v>
      </c>
    </row>
    <row r="65" spans="2:24" ht="12.95" customHeight="1" x14ac:dyDescent="0.2">
      <c r="B65" s="429" t="s">
        <v>383</v>
      </c>
      <c r="H65" s="428"/>
      <c r="I65" s="428"/>
      <c r="J65" s="48"/>
      <c r="K65" s="191"/>
      <c r="L65" s="191"/>
      <c r="M65" s="191"/>
      <c r="N65" s="191"/>
      <c r="O65" s="191"/>
    </row>
    <row r="66" spans="2:24" ht="12.95" customHeight="1" x14ac:dyDescent="0.2">
      <c r="B66" s="1" t="s">
        <v>51</v>
      </c>
      <c r="G66" s="143"/>
      <c r="H66" s="132">
        <v>99.445716012328774</v>
      </c>
      <c r="I66" s="132">
        <v>105.90968755313013</v>
      </c>
      <c r="J66" s="133">
        <v>113.32336568184925</v>
      </c>
      <c r="K66" s="134"/>
      <c r="L66" s="135"/>
      <c r="M66" s="135"/>
      <c r="N66" s="135"/>
      <c r="O66" s="135"/>
      <c r="Q66" s="46"/>
      <c r="R66" s="46"/>
      <c r="S66" s="46"/>
      <c r="T66" s="46"/>
      <c r="U66" s="46"/>
      <c r="V66" s="46"/>
      <c r="W66" s="46"/>
      <c r="X66" s="46"/>
    </row>
    <row r="67" spans="2:24" ht="12.95" customHeight="1" x14ac:dyDescent="0.2">
      <c r="B67" s="1" t="s">
        <v>52</v>
      </c>
      <c r="G67" s="143"/>
      <c r="H67" s="132">
        <v>135.99533150406003</v>
      </c>
      <c r="I67" s="132">
        <v>144.31960090573199</v>
      </c>
      <c r="J67" s="133">
        <v>153.87046592281493</v>
      </c>
      <c r="K67" s="136"/>
      <c r="L67" s="137"/>
      <c r="M67" s="137"/>
      <c r="N67" s="137"/>
      <c r="O67" s="137"/>
      <c r="Q67" s="46"/>
      <c r="R67" s="46"/>
      <c r="S67" s="46"/>
      <c r="T67" s="46"/>
      <c r="U67" s="46"/>
      <c r="V67" s="46"/>
      <c r="W67" s="46"/>
      <c r="X67" s="46"/>
    </row>
    <row r="68" spans="2:24" s="144" customFormat="1" ht="12.95" customHeight="1" x14ac:dyDescent="0.2">
      <c r="B68" s="144" t="s">
        <v>53</v>
      </c>
      <c r="H68" s="226">
        <v>31.457994831899995</v>
      </c>
      <c r="I68" s="226">
        <v>33.502764495973494</v>
      </c>
      <c r="J68" s="133">
        <v>35.847958010691642</v>
      </c>
      <c r="K68" s="136"/>
      <c r="L68" s="136"/>
      <c r="M68" s="136"/>
      <c r="N68" s="136"/>
      <c r="O68" s="136"/>
      <c r="Q68" s="152"/>
      <c r="R68" s="152"/>
      <c r="S68" s="152"/>
      <c r="T68" s="152"/>
      <c r="U68" s="152"/>
      <c r="V68" s="152"/>
      <c r="W68" s="152"/>
      <c r="X68" s="152"/>
    </row>
    <row r="69" spans="2:24" s="93" customFormat="1" ht="12.95" customHeight="1" x14ac:dyDescent="0.2">
      <c r="B69" s="93" t="s">
        <v>57</v>
      </c>
      <c r="G69" s="144"/>
      <c r="H69" s="226">
        <v>48.396915126000003</v>
      </c>
      <c r="I69" s="226">
        <v>51.54271460919</v>
      </c>
      <c r="J69" s="133">
        <v>55.150704631833307</v>
      </c>
      <c r="K69" s="136"/>
      <c r="L69" s="136"/>
      <c r="M69" s="136"/>
      <c r="N69" s="136"/>
      <c r="O69" s="136"/>
      <c r="Q69" s="119"/>
      <c r="R69" s="119"/>
      <c r="S69" s="119"/>
      <c r="T69" s="119"/>
      <c r="U69" s="119"/>
      <c r="V69" s="119"/>
      <c r="W69" s="119"/>
      <c r="X69" s="119"/>
    </row>
    <row r="70" spans="2:24" ht="12.95" customHeight="1" x14ac:dyDescent="0.2">
      <c r="G70" s="143"/>
      <c r="H70" s="143"/>
      <c r="I70" s="143"/>
      <c r="J70" s="124"/>
      <c r="K70" s="144"/>
      <c r="L70" s="143"/>
      <c r="M70" s="143"/>
      <c r="N70" s="143"/>
      <c r="O70" s="143"/>
      <c r="Q70" s="46"/>
      <c r="R70" s="46"/>
      <c r="S70" s="46"/>
      <c r="T70" s="46"/>
      <c r="U70" s="46"/>
      <c r="V70" s="46"/>
      <c r="W70" s="46"/>
      <c r="X70" s="46"/>
    </row>
    <row r="71" spans="2:24" ht="12.95" customHeight="1" x14ac:dyDescent="0.2">
      <c r="B71" s="1" t="s">
        <v>59</v>
      </c>
      <c r="G71" s="143"/>
      <c r="H71" s="132">
        <v>55.888492398928776</v>
      </c>
      <c r="I71" s="132">
        <v>59.309425029752873</v>
      </c>
      <c r="J71" s="133">
        <v>63.23443805047188</v>
      </c>
      <c r="K71" s="136"/>
      <c r="L71" s="137"/>
      <c r="M71" s="137"/>
      <c r="N71" s="137"/>
      <c r="O71" s="137"/>
      <c r="Q71" s="46"/>
      <c r="R71" s="46"/>
      <c r="S71" s="46"/>
      <c r="T71" s="46"/>
      <c r="U71" s="46"/>
      <c r="V71" s="46"/>
      <c r="W71" s="46"/>
      <c r="X71" s="46"/>
    </row>
    <row r="72" spans="2:24" ht="12.95" customHeight="1" x14ac:dyDescent="0.2">
      <c r="B72" s="1" t="s">
        <v>60</v>
      </c>
      <c r="G72" s="143"/>
      <c r="H72" s="132">
        <v>58.91235486000167</v>
      </c>
      <c r="I72" s="132">
        <v>62.480078649260122</v>
      </c>
      <c r="J72" s="133">
        <v>66.573794328701794</v>
      </c>
      <c r="K72" s="136"/>
      <c r="L72" s="137"/>
      <c r="M72" s="137"/>
      <c r="N72" s="137"/>
      <c r="O72" s="137"/>
      <c r="Q72" s="46"/>
      <c r="R72" s="46"/>
      <c r="S72" s="46"/>
      <c r="T72" s="46"/>
      <c r="U72" s="46"/>
      <c r="V72" s="46"/>
      <c r="W72" s="46"/>
      <c r="X72" s="46"/>
    </row>
    <row r="73" spans="2:24" ht="12.95" customHeight="1" x14ac:dyDescent="0.2">
      <c r="B73" s="93" t="s">
        <v>61</v>
      </c>
      <c r="C73" s="93"/>
      <c r="D73" s="93"/>
      <c r="E73" s="93"/>
      <c r="F73" s="93"/>
      <c r="G73" s="144"/>
      <c r="H73" s="226">
        <v>60.496143907500006</v>
      </c>
      <c r="I73" s="226">
        <v>64.4283932614875</v>
      </c>
      <c r="J73" s="133">
        <v>68.938380789791637</v>
      </c>
      <c r="K73" s="136"/>
      <c r="L73" s="136"/>
      <c r="M73" s="136"/>
      <c r="N73" s="136"/>
      <c r="O73" s="136"/>
      <c r="Q73" s="46"/>
      <c r="R73" s="46"/>
      <c r="S73" s="46"/>
      <c r="T73" s="46"/>
      <c r="U73" s="46"/>
      <c r="V73" s="46"/>
      <c r="W73" s="46"/>
      <c r="X73" s="46"/>
    </row>
    <row r="74" spans="2:24" ht="12.95" customHeight="1" x14ac:dyDescent="0.2">
      <c r="B74" s="93" t="s">
        <v>63</v>
      </c>
      <c r="C74" s="93"/>
      <c r="D74" s="93"/>
      <c r="E74" s="93"/>
      <c r="F74" s="93"/>
      <c r="G74" s="144"/>
      <c r="H74" s="226">
        <v>12.099228781500001</v>
      </c>
      <c r="I74" s="226">
        <v>12.8856786522975</v>
      </c>
      <c r="J74" s="133">
        <v>13.787676157958327</v>
      </c>
      <c r="K74" s="136"/>
      <c r="L74" s="136"/>
      <c r="M74" s="136"/>
      <c r="N74" s="136"/>
      <c r="O74" s="136"/>
      <c r="Q74" s="46"/>
      <c r="R74" s="46"/>
      <c r="S74" s="46"/>
      <c r="T74" s="46"/>
      <c r="U74" s="46"/>
      <c r="V74" s="46"/>
      <c r="W74" s="46"/>
      <c r="X74" s="46"/>
    </row>
    <row r="75" spans="2:24" ht="12.95" customHeight="1" x14ac:dyDescent="0.2">
      <c r="G75" s="143"/>
      <c r="H75" s="150"/>
      <c r="I75" s="150"/>
      <c r="J75" s="151"/>
      <c r="K75" s="144"/>
      <c r="L75" s="143"/>
      <c r="M75" s="143"/>
      <c r="N75" s="143"/>
      <c r="O75" s="143"/>
      <c r="Q75" s="46"/>
      <c r="R75" s="46"/>
      <c r="S75" s="46"/>
      <c r="T75" s="46"/>
      <c r="U75" s="46"/>
      <c r="V75" s="46"/>
      <c r="W75" s="46"/>
      <c r="X75" s="46"/>
    </row>
    <row r="76" spans="2:24" ht="12.95" customHeight="1" x14ac:dyDescent="0.2">
      <c r="B76" s="430" t="s">
        <v>378</v>
      </c>
      <c r="C76" s="431"/>
      <c r="D76" s="431"/>
      <c r="E76" s="431"/>
      <c r="F76" s="431"/>
      <c r="G76" s="431"/>
      <c r="H76" s="432">
        <f>+SUM(H66:H69)-SUM(H71:H74)</f>
        <v>127.89973752635836</v>
      </c>
      <c r="I76" s="432">
        <f>+SUM(I66:I69)-SUM(I71:I74)</f>
        <v>136.17119197122764</v>
      </c>
      <c r="J76" s="433">
        <f>+SUM(J66:J69)-SUM(J71:J74)</f>
        <v>145.65820492026552</v>
      </c>
      <c r="K76" s="308"/>
      <c r="L76" s="308"/>
      <c r="M76" s="308"/>
      <c r="N76" s="308"/>
      <c r="O76" s="442"/>
      <c r="Q76" s="81" t="s">
        <v>409</v>
      </c>
      <c r="R76" s="46"/>
      <c r="S76" s="46"/>
      <c r="T76" s="46"/>
      <c r="U76" s="46"/>
      <c r="V76" s="46"/>
      <c r="W76" s="46"/>
      <c r="X76" s="46"/>
    </row>
    <row r="77" spans="2:24" s="25" customFormat="1" ht="12.95" customHeight="1" x14ac:dyDescent="0.2">
      <c r="B77" s="436" t="s">
        <v>17</v>
      </c>
      <c r="C77" s="437"/>
      <c r="D77" s="437"/>
      <c r="E77" s="437"/>
      <c r="F77" s="437"/>
      <c r="G77" s="437"/>
      <c r="H77" s="438">
        <f>+H76/H92</f>
        <v>0.10570900000000001</v>
      </c>
      <c r="I77" s="438">
        <f>+I76/I92</f>
        <v>0.10567638356164384</v>
      </c>
      <c r="J77" s="439">
        <f>+J76/J92</f>
        <v>0.10564376712328767</v>
      </c>
      <c r="K77" s="443"/>
      <c r="L77" s="443"/>
      <c r="M77" s="443"/>
      <c r="N77" s="443"/>
      <c r="O77" s="444"/>
      <c r="Q77" s="81" t="s">
        <v>408</v>
      </c>
    </row>
    <row r="78" spans="2:24" ht="12.95" customHeight="1" x14ac:dyDescent="0.2">
      <c r="H78" s="143"/>
      <c r="I78" s="143"/>
      <c r="J78" s="124"/>
      <c r="K78" s="136"/>
      <c r="L78" s="137"/>
      <c r="M78" s="137"/>
      <c r="N78" s="137"/>
      <c r="O78" s="137"/>
    </row>
    <row r="79" spans="2:24" ht="12.95" customHeight="1" x14ac:dyDescent="0.2">
      <c r="B79" s="21" t="s">
        <v>379</v>
      </c>
      <c r="H79" s="143"/>
      <c r="I79" s="143"/>
      <c r="J79" s="124"/>
      <c r="K79" s="136"/>
      <c r="L79" s="137"/>
      <c r="M79" s="137"/>
      <c r="N79" s="137"/>
      <c r="O79" s="137"/>
    </row>
    <row r="80" spans="2:24" ht="12.95" customHeight="1" x14ac:dyDescent="0.2">
      <c r="B80" s="417" t="s">
        <v>372</v>
      </c>
      <c r="C80" s="410"/>
      <c r="D80" s="410"/>
      <c r="E80" s="410"/>
      <c r="F80" s="410"/>
      <c r="G80" s="410"/>
      <c r="H80" s="411">
        <v>14.519074537800002</v>
      </c>
      <c r="I80" s="411">
        <v>16.751382247986751</v>
      </c>
      <c r="J80" s="412">
        <v>19.302746621141658</v>
      </c>
      <c r="K80" s="413">
        <f ca="1">+K81*K92</f>
        <v>21.441559885144944</v>
      </c>
      <c r="L80" s="413">
        <f ca="1">+L81*L92</f>
        <v>23.84449332054912</v>
      </c>
      <c r="M80" s="413">
        <f ca="1">+M81*M92</f>
        <v>26.548856271321402</v>
      </c>
      <c r="N80" s="413">
        <f ca="1">+N81*N92</f>
        <v>29.597692668931213</v>
      </c>
      <c r="O80" s="422">
        <f ca="1">+O81*O92</f>
        <v>33.040736761434232</v>
      </c>
    </row>
    <row r="81" spans="1:15" ht="12.95" customHeight="1" x14ac:dyDescent="0.2">
      <c r="B81" s="418" t="s">
        <v>17</v>
      </c>
      <c r="C81" s="401"/>
      <c r="D81" s="401"/>
      <c r="E81" s="401"/>
      <c r="F81" s="401"/>
      <c r="G81" s="401"/>
      <c r="H81" s="405">
        <f>+H80/H92</f>
        <v>1.2E-2</v>
      </c>
      <c r="I81" s="405">
        <f>+I80/I92</f>
        <v>1.3000000000000001E-2</v>
      </c>
      <c r="J81" s="406">
        <f>+J80/J92</f>
        <v>1.4E-2</v>
      </c>
      <c r="K81" s="407">
        <v>1.4500000000000001E-2</v>
      </c>
      <c r="L81" s="408">
        <v>1.5000000000000001E-2</v>
      </c>
      <c r="M81" s="408">
        <v>1.5500000000000002E-2</v>
      </c>
      <c r="N81" s="408">
        <v>1.6E-2</v>
      </c>
      <c r="O81" s="423">
        <v>1.6500000000000001E-2</v>
      </c>
    </row>
    <row r="82" spans="1:15" ht="12.95" customHeight="1" x14ac:dyDescent="0.2">
      <c r="B82" s="419" t="s">
        <v>373</v>
      </c>
      <c r="C82" s="401"/>
      <c r="D82" s="401"/>
      <c r="E82" s="401"/>
      <c r="F82" s="401"/>
      <c r="G82" s="401"/>
      <c r="H82" s="402">
        <v>13.30915165965</v>
      </c>
      <c r="I82" s="402">
        <v>13.30915165965</v>
      </c>
      <c r="J82" s="403">
        <v>13.30915165965</v>
      </c>
      <c r="K82" s="404">
        <f ca="1">+K83*K92</f>
        <v>19.962831617203911</v>
      </c>
      <c r="L82" s="404">
        <f ca="1">+L83*L92</f>
        <v>22.254860432512512</v>
      </c>
      <c r="M82" s="404">
        <f ca="1">+M83*M92</f>
        <v>24.836026834461958</v>
      </c>
      <c r="N82" s="404">
        <f ca="1">+N83*N92</f>
        <v>27.747836877123014</v>
      </c>
      <c r="O82" s="424">
        <f ca="1">+O83*O92</f>
        <v>31.038267866801853</v>
      </c>
    </row>
    <row r="83" spans="1:15" ht="12.95" customHeight="1" x14ac:dyDescent="0.2">
      <c r="B83" s="418" t="s">
        <v>17</v>
      </c>
      <c r="C83" s="401"/>
      <c r="D83" s="401"/>
      <c r="E83" s="401"/>
      <c r="F83" s="401"/>
      <c r="G83" s="401"/>
      <c r="H83" s="405">
        <f>+H82/H92</f>
        <v>1.0999999999999999E-2</v>
      </c>
      <c r="I83" s="405">
        <f>+I82/I92</f>
        <v>1.0328638497652583E-2</v>
      </c>
      <c r="J83" s="406">
        <f>+J82/J92</f>
        <v>9.6529331753762437E-3</v>
      </c>
      <c r="K83" s="407">
        <v>1.35E-2</v>
      </c>
      <c r="L83" s="408">
        <v>1.4E-2</v>
      </c>
      <c r="M83" s="408">
        <v>1.4500000000000001E-2</v>
      </c>
      <c r="N83" s="408">
        <v>1.5000000000000001E-2</v>
      </c>
      <c r="O83" s="423">
        <v>1.5500000000000002E-2</v>
      </c>
    </row>
    <row r="84" spans="1:15" ht="12.95" customHeight="1" x14ac:dyDescent="0.2">
      <c r="B84" s="419" t="s">
        <v>376</v>
      </c>
      <c r="C84" s="401"/>
      <c r="D84" s="401"/>
      <c r="E84" s="401"/>
      <c r="F84" s="401"/>
      <c r="G84" s="401"/>
      <c r="H84" s="402">
        <v>0</v>
      </c>
      <c r="I84" s="402">
        <v>0</v>
      </c>
      <c r="J84" s="403">
        <v>0</v>
      </c>
      <c r="K84" s="409">
        <v>0</v>
      </c>
      <c r="L84" s="409">
        <v>0</v>
      </c>
      <c r="M84" s="409">
        <v>0</v>
      </c>
      <c r="N84" s="409">
        <v>0</v>
      </c>
      <c r="O84" s="403">
        <v>0</v>
      </c>
    </row>
    <row r="85" spans="1:15" ht="12.95" customHeight="1" x14ac:dyDescent="0.2">
      <c r="B85" s="419" t="s">
        <v>377</v>
      </c>
      <c r="C85" s="401"/>
      <c r="D85" s="401"/>
      <c r="E85" s="401"/>
      <c r="F85" s="401"/>
      <c r="G85" s="401"/>
      <c r="H85" s="402">
        <v>9.0919467450000013</v>
      </c>
      <c r="I85" s="402">
        <v>9.6829232834249996</v>
      </c>
      <c r="J85" s="403">
        <v>10.360727913264752</v>
      </c>
      <c r="K85" s="404">
        <f ca="1">+K86*K92</f>
        <v>11.111880686976447</v>
      </c>
      <c r="L85" s="404">
        <f ca="1">+L86*L92</f>
        <v>11.945271738499681</v>
      </c>
      <c r="M85" s="404">
        <f ca="1">+M86*M92</f>
        <v>12.871030298233407</v>
      </c>
      <c r="N85" s="404">
        <f ca="1">+N86*N92</f>
        <v>13.900712722092081</v>
      </c>
      <c r="O85" s="424">
        <f ca="1">+O86*O92</f>
        <v>15.047521521664677</v>
      </c>
    </row>
    <row r="86" spans="1:15" ht="12.95" customHeight="1" x14ac:dyDescent="0.2">
      <c r="B86" s="418" t="s">
        <v>17</v>
      </c>
      <c r="C86" s="401"/>
      <c r="D86" s="401"/>
      <c r="E86" s="401"/>
      <c r="F86" s="401"/>
      <c r="G86" s="401"/>
      <c r="H86" s="405">
        <f>+H85/H92</f>
        <v>7.5144845255771982E-3</v>
      </c>
      <c r="I86" s="405">
        <f>+I85/I92</f>
        <v>7.5144845255771973E-3</v>
      </c>
      <c r="J86" s="406">
        <f>+J85/J92</f>
        <v>7.5144845255771982E-3</v>
      </c>
      <c r="K86" s="407">
        <v>7.5144845255771982E-3</v>
      </c>
      <c r="L86" s="408">
        <v>7.5144845255771982E-3</v>
      </c>
      <c r="M86" s="408">
        <v>7.5144845255771982E-3</v>
      </c>
      <c r="N86" s="408">
        <v>7.5144845255771982E-3</v>
      </c>
      <c r="O86" s="423">
        <v>7.5144845255771982E-3</v>
      </c>
    </row>
    <row r="87" spans="1:15" ht="12.95" customHeight="1" x14ac:dyDescent="0.2">
      <c r="B87" s="420" t="s">
        <v>113</v>
      </c>
      <c r="C87" s="401"/>
      <c r="D87" s="401"/>
      <c r="E87" s="401"/>
      <c r="F87" s="401"/>
      <c r="G87" s="401"/>
      <c r="H87" s="402">
        <v>5</v>
      </c>
      <c r="I87" s="402">
        <v>5</v>
      </c>
      <c r="J87" s="403">
        <v>5</v>
      </c>
      <c r="K87" s="409">
        <v>5</v>
      </c>
      <c r="L87" s="409">
        <v>5</v>
      </c>
      <c r="M87" s="409">
        <v>5</v>
      </c>
      <c r="N87" s="409">
        <v>5</v>
      </c>
      <c r="O87" s="403">
        <v>5</v>
      </c>
    </row>
    <row r="88" spans="1:15" ht="12.95" customHeight="1" x14ac:dyDescent="0.2">
      <c r="B88" s="419" t="s">
        <v>374</v>
      </c>
      <c r="C88" s="401"/>
      <c r="D88" s="401"/>
      <c r="E88" s="401"/>
      <c r="F88" s="401"/>
      <c r="G88" s="401"/>
      <c r="H88" s="402">
        <v>7.2191681345372034</v>
      </c>
      <c r="I88" s="402">
        <v>7.9045291961058837</v>
      </c>
      <c r="J88" s="403">
        <v>8.6868095464058861</v>
      </c>
      <c r="K88" s="404">
        <f ca="1">+K89*K35</f>
        <v>9.6979686824253619</v>
      </c>
      <c r="L88" s="404">
        <f ca="1">+L89*L35</f>
        <v>10.507361870467868</v>
      </c>
      <c r="M88" s="404">
        <f ca="1">+M89*M35</f>
        <v>11.467882873171408</v>
      </c>
      <c r="N88" s="404">
        <f ca="1">+N89*N35</f>
        <v>12.697278991549025</v>
      </c>
      <c r="O88" s="424">
        <f ca="1">+O89*O35</f>
        <v>14.078381194240828</v>
      </c>
    </row>
    <row r="89" spans="1:15" ht="12.95" customHeight="1" x14ac:dyDescent="0.2">
      <c r="B89" s="421" t="s">
        <v>375</v>
      </c>
      <c r="C89" s="414"/>
      <c r="D89" s="414"/>
      <c r="E89" s="414"/>
      <c r="F89" s="414"/>
      <c r="G89" s="414"/>
      <c r="H89" s="415">
        <f>H88/H35</f>
        <v>0.05</v>
      </c>
      <c r="I89" s="415">
        <f>I88/I35</f>
        <v>0.05</v>
      </c>
      <c r="J89" s="416">
        <f>J88/J35</f>
        <v>0.05</v>
      </c>
      <c r="K89" s="415">
        <f>+J89</f>
        <v>0.05</v>
      </c>
      <c r="L89" s="415">
        <f>+K89</f>
        <v>0.05</v>
      </c>
      <c r="M89" s="415">
        <f>+L89</f>
        <v>0.05</v>
      </c>
      <c r="N89" s="415">
        <f>+M89</f>
        <v>0.05</v>
      </c>
      <c r="O89" s="416">
        <f>+N89</f>
        <v>0.05</v>
      </c>
    </row>
    <row r="90" spans="1:15" ht="12.95" customHeight="1" outlineLevel="1" x14ac:dyDescent="0.2">
      <c r="H90" s="143"/>
      <c r="I90" s="143"/>
      <c r="J90" s="124"/>
      <c r="K90" s="144"/>
      <c r="L90" s="143"/>
      <c r="M90" s="143"/>
      <c r="N90" s="143"/>
      <c r="O90" s="143"/>
    </row>
    <row r="91" spans="1:15" ht="12.95" customHeight="1" outlineLevel="1" x14ac:dyDescent="0.2">
      <c r="B91" s="28" t="s">
        <v>66</v>
      </c>
      <c r="C91" s="20"/>
      <c r="D91" s="20"/>
      <c r="E91" s="20"/>
      <c r="F91" s="20"/>
      <c r="G91" s="20"/>
      <c r="H91" s="158"/>
      <c r="I91" s="158"/>
      <c r="J91" s="159"/>
      <c r="K91" s="158"/>
      <c r="L91" s="158"/>
      <c r="M91" s="158"/>
      <c r="N91" s="158"/>
      <c r="O91" s="158"/>
    </row>
    <row r="92" spans="1:15" ht="12.95" customHeight="1" outlineLevel="1" x14ac:dyDescent="0.2">
      <c r="B92" s="1" t="str">
        <f>+B26</f>
        <v>Revenue</v>
      </c>
      <c r="H92" s="137">
        <f t="shared" ref="H92:O92" si="14">+H26</f>
        <v>1209.9228781500001</v>
      </c>
      <c r="I92" s="137">
        <f t="shared" si="14"/>
        <v>1288.5678652297499</v>
      </c>
      <c r="J92" s="157">
        <f t="shared" si="14"/>
        <v>1378.7676157958326</v>
      </c>
      <c r="K92" s="136">
        <f t="shared" ca="1" si="14"/>
        <v>1478.7282679410305</v>
      </c>
      <c r="L92" s="137">
        <f t="shared" ca="1" si="14"/>
        <v>1589.6328880366079</v>
      </c>
      <c r="M92" s="137">
        <f t="shared" ca="1" si="14"/>
        <v>1712.8294368594452</v>
      </c>
      <c r="N92" s="137">
        <f t="shared" ca="1" si="14"/>
        <v>1849.8557918082008</v>
      </c>
      <c r="O92" s="137">
        <f t="shared" ca="1" si="14"/>
        <v>2002.4688946323774</v>
      </c>
    </row>
    <row r="93" spans="1:15" ht="12.95" customHeight="1" outlineLevel="1" x14ac:dyDescent="0.2">
      <c r="B93" s="1" t="str">
        <f>+B27</f>
        <v>Cost of Goods Sold (Cost of Sales)</v>
      </c>
      <c r="H93" s="137">
        <f t="shared" ref="H93:O93" si="15">-H27</f>
        <v>679.97665752030014</v>
      </c>
      <c r="I93" s="137">
        <f t="shared" si="15"/>
        <v>721.59800452866</v>
      </c>
      <c r="J93" s="157">
        <f t="shared" si="15"/>
        <v>769.35232961407462</v>
      </c>
      <c r="K93" s="136">
        <f t="shared" ca="1" si="15"/>
        <v>822.17291697521307</v>
      </c>
      <c r="L93" s="137">
        <f t="shared" ca="1" si="15"/>
        <v>880.65661997228085</v>
      </c>
      <c r="M93" s="137">
        <f t="shared" ca="1" si="15"/>
        <v>945.48184914641388</v>
      </c>
      <c r="N93" s="137">
        <f t="shared" ca="1" si="15"/>
        <v>1017.4206854945105</v>
      </c>
      <c r="O93" s="137">
        <f t="shared" ca="1" si="15"/>
        <v>1097.3529542585429</v>
      </c>
    </row>
    <row r="94" spans="1:15" ht="12.95" customHeight="1" outlineLevel="1" x14ac:dyDescent="0.2">
      <c r="B94" s="20" t="str">
        <f>+B29</f>
        <v>SG&amp;A</v>
      </c>
      <c r="C94" s="20"/>
      <c r="D94" s="20"/>
      <c r="E94" s="20"/>
      <c r="F94" s="20"/>
      <c r="G94" s="20"/>
      <c r="H94" s="140">
        <f t="shared" ref="H94:O94" si="16">-H29</f>
        <v>335.75359868662508</v>
      </c>
      <c r="I94" s="140">
        <f t="shared" si="16"/>
        <v>355.64473080341099</v>
      </c>
      <c r="J94" s="122">
        <f t="shared" si="16"/>
        <v>378.47171053595611</v>
      </c>
      <c r="K94" s="140">
        <f t="shared" ca="1" si="16"/>
        <v>403.69281714790134</v>
      </c>
      <c r="L94" s="140">
        <f t="shared" ca="1" si="16"/>
        <v>431.58532910193907</v>
      </c>
      <c r="M94" s="140">
        <f t="shared" ca="1" si="16"/>
        <v>462.46394795205021</v>
      </c>
      <c r="N94" s="140">
        <f t="shared" ca="1" si="16"/>
        <v>496.68628010050196</v>
      </c>
      <c r="O94" s="140">
        <f t="shared" ca="1" si="16"/>
        <v>534.65919486684481</v>
      </c>
    </row>
    <row r="95" spans="1:15" ht="12.95" customHeight="1" x14ac:dyDescent="0.2">
      <c r="B95" s="20"/>
      <c r="C95" s="20"/>
      <c r="D95" s="20"/>
      <c r="E95" s="20"/>
      <c r="F95" s="20"/>
      <c r="G95" s="20"/>
      <c r="H95" s="20"/>
      <c r="I95" s="20"/>
      <c r="K95" s="20"/>
      <c r="L95" s="20"/>
      <c r="M95" s="20"/>
      <c r="N95" s="20"/>
      <c r="O95" s="20"/>
    </row>
    <row r="96" spans="1:15" ht="12.95" customHeight="1" x14ac:dyDescent="0.2">
      <c r="A96" s="1" t="s">
        <v>0</v>
      </c>
      <c r="B96" s="26" t="s">
        <v>75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30"/>
    </row>
    <row r="98" spans="2:17" ht="12.95" customHeight="1" x14ac:dyDescent="0.35">
      <c r="I98" s="10"/>
      <c r="J98" s="10"/>
      <c r="K98" s="9" t="str">
        <f>+H63</f>
        <v>Fiscal Year Ended 12/31</v>
      </c>
      <c r="L98" s="10"/>
      <c r="M98" s="10"/>
      <c r="N98" s="10"/>
      <c r="O98" s="10"/>
    </row>
    <row r="99" spans="2:17" ht="12.95" customHeight="1" x14ac:dyDescent="0.2">
      <c r="B99" s="18" t="s">
        <v>76</v>
      </c>
      <c r="K99" s="11">
        <f>+$K$25</f>
        <v>2021</v>
      </c>
      <c r="L99" s="11">
        <f>+$L$25</f>
        <v>2022</v>
      </c>
      <c r="M99" s="11">
        <f>+$M$25</f>
        <v>2023</v>
      </c>
      <c r="N99" s="11">
        <f>+$N$25</f>
        <v>2024</v>
      </c>
      <c r="O99" s="11">
        <f>+$O$25</f>
        <v>2025</v>
      </c>
    </row>
    <row r="100" spans="2:17" ht="12.95" customHeight="1" x14ac:dyDescent="0.2">
      <c r="B100" s="1" t="s">
        <v>39</v>
      </c>
      <c r="H100" s="17"/>
      <c r="I100" s="17"/>
      <c r="J100" s="17"/>
      <c r="K100" s="160">
        <f ca="1">+K35</f>
        <v>193.95937364850724</v>
      </c>
      <c r="L100" s="160">
        <f ca="1">+L35</f>
        <v>210.14723740935736</v>
      </c>
      <c r="M100" s="160">
        <f ca="1">+M35</f>
        <v>229.35765746342815</v>
      </c>
      <c r="N100" s="160">
        <f ca="1">+N35</f>
        <v>253.94557983098048</v>
      </c>
      <c r="O100" s="160">
        <f ca="1">+O35</f>
        <v>281.56762388481656</v>
      </c>
    </row>
    <row r="101" spans="2:17" ht="12.95" customHeight="1" x14ac:dyDescent="0.2">
      <c r="B101" s="1" t="s">
        <v>77</v>
      </c>
      <c r="H101" s="23"/>
      <c r="I101" s="23"/>
      <c r="J101" s="23"/>
      <c r="K101" s="137">
        <f ca="1">+K82</f>
        <v>19.962831617203911</v>
      </c>
      <c r="L101" s="137">
        <f ca="1">+L82</f>
        <v>22.254860432512512</v>
      </c>
      <c r="M101" s="137">
        <f ca="1">+M82</f>
        <v>24.836026834461958</v>
      </c>
      <c r="N101" s="137">
        <f ca="1">+N82</f>
        <v>27.747836877123014</v>
      </c>
      <c r="O101" s="137">
        <f ca="1">+O82</f>
        <v>31.038267866801853</v>
      </c>
    </row>
    <row r="102" spans="2:17" ht="12.95" customHeight="1" x14ac:dyDescent="0.2">
      <c r="B102" s="1" t="s">
        <v>134</v>
      </c>
      <c r="H102" s="23"/>
      <c r="I102" s="23"/>
      <c r="J102" s="23"/>
      <c r="K102" s="137">
        <f ca="1">+K85</f>
        <v>11.111880686976447</v>
      </c>
      <c r="L102" s="137">
        <f ca="1">+L85</f>
        <v>11.945271738499681</v>
      </c>
      <c r="M102" s="137">
        <f ca="1">+M85</f>
        <v>12.871030298233407</v>
      </c>
      <c r="N102" s="137">
        <f ca="1">+N85</f>
        <v>13.900712722092081</v>
      </c>
      <c r="O102" s="137">
        <f ca="1">+O85</f>
        <v>15.047521521664677</v>
      </c>
    </row>
    <row r="103" spans="2:17" ht="12.95" customHeight="1" x14ac:dyDescent="0.2">
      <c r="K103" s="143"/>
      <c r="L103" s="143"/>
      <c r="M103" s="143"/>
      <c r="N103" s="143"/>
      <c r="O103" s="143"/>
    </row>
    <row r="104" spans="2:17" ht="12.95" customHeight="1" x14ac:dyDescent="0.2">
      <c r="B104" s="1" t="s">
        <v>79</v>
      </c>
      <c r="H104" s="17"/>
      <c r="I104" s="17"/>
      <c r="J104" s="17"/>
      <c r="K104" s="270"/>
      <c r="L104" s="270"/>
      <c r="M104" s="270"/>
      <c r="N104" s="270"/>
      <c r="O104" s="270"/>
      <c r="Q104" s="1" t="s">
        <v>410</v>
      </c>
    </row>
    <row r="105" spans="2:17" ht="12.95" customHeight="1" x14ac:dyDescent="0.2">
      <c r="K105" s="143"/>
      <c r="L105" s="143"/>
      <c r="M105" s="143"/>
      <c r="N105" s="143"/>
      <c r="O105" s="143"/>
    </row>
    <row r="106" spans="2:17" s="93" customFormat="1" ht="12.95" customHeight="1" x14ac:dyDescent="0.2">
      <c r="B106" s="16" t="s">
        <v>166</v>
      </c>
      <c r="C106" s="16"/>
      <c r="D106" s="16"/>
      <c r="E106" s="16"/>
      <c r="F106" s="16"/>
      <c r="G106" s="16"/>
      <c r="H106" s="71"/>
      <c r="I106" s="71"/>
      <c r="J106" s="71"/>
      <c r="K106" s="155">
        <f ca="1">+SUM(K100:K102,K104)</f>
        <v>225.03408595268758</v>
      </c>
      <c r="L106" s="155">
        <f ca="1">+SUM(L100:L102,L104)</f>
        <v>244.34736958036956</v>
      </c>
      <c r="M106" s="155">
        <f ca="1">+SUM(M100:M102,M104)</f>
        <v>267.06471459612351</v>
      </c>
      <c r="N106" s="155">
        <f ca="1">+SUM(N100:N102,N104)</f>
        <v>295.59412943019555</v>
      </c>
      <c r="O106" s="155">
        <f ca="1">+SUM(O100:O102,O104)</f>
        <v>327.65341327328309</v>
      </c>
    </row>
    <row r="107" spans="2:17" ht="12.95" customHeight="1" x14ac:dyDescent="0.2">
      <c r="K107" s="143"/>
      <c r="L107" s="143"/>
      <c r="M107" s="143"/>
      <c r="N107" s="143"/>
      <c r="O107" s="143"/>
    </row>
    <row r="108" spans="2:17" ht="12.95" customHeight="1" x14ac:dyDescent="0.2">
      <c r="B108" s="18" t="s">
        <v>80</v>
      </c>
      <c r="K108" s="143"/>
      <c r="L108" s="143"/>
      <c r="M108" s="143"/>
      <c r="N108" s="143"/>
      <c r="O108" s="143"/>
    </row>
    <row r="109" spans="2:17" ht="12.95" customHeight="1" x14ac:dyDescent="0.2">
      <c r="B109" s="1" t="s">
        <v>16</v>
      </c>
      <c r="H109" s="17"/>
      <c r="I109" s="17"/>
      <c r="J109" s="17"/>
      <c r="K109" s="160">
        <f ca="1">-K80</f>
        <v>-21.441559885144944</v>
      </c>
      <c r="L109" s="160">
        <f ca="1">-L80</f>
        <v>-23.84449332054912</v>
      </c>
      <c r="M109" s="160">
        <f ca="1">-M80</f>
        <v>-26.548856271321402</v>
      </c>
      <c r="N109" s="160">
        <f ca="1">-N80</f>
        <v>-29.597692668931213</v>
      </c>
      <c r="O109" s="160">
        <f ca="1">-O80</f>
        <v>-33.040736761434232</v>
      </c>
    </row>
    <row r="110" spans="2:17" s="92" customFormat="1" ht="12.95" customHeight="1" x14ac:dyDescent="0.2">
      <c r="B110" s="16" t="s">
        <v>167</v>
      </c>
      <c r="C110" s="16"/>
      <c r="D110" s="16"/>
      <c r="E110" s="16"/>
      <c r="F110" s="16"/>
      <c r="G110" s="16"/>
      <c r="H110" s="71"/>
      <c r="I110" s="71"/>
      <c r="J110" s="71"/>
      <c r="K110" s="155">
        <f ca="1">SUM(K109)</f>
        <v>-21.441559885144944</v>
      </c>
      <c r="L110" s="155">
        <f ca="1">SUM(L109)</f>
        <v>-23.84449332054912</v>
      </c>
      <c r="M110" s="155">
        <f ca="1">SUM(M109)</f>
        <v>-26.548856271321402</v>
      </c>
      <c r="N110" s="155">
        <f ca="1">SUM(N109)</f>
        <v>-29.597692668931213</v>
      </c>
      <c r="O110" s="155">
        <f ca="1">SUM(O109)</f>
        <v>-33.040736761434232</v>
      </c>
    </row>
    <row r="111" spans="2:17" ht="12.95" customHeight="1" x14ac:dyDescent="0.2">
      <c r="K111" s="143"/>
      <c r="L111" s="143"/>
      <c r="M111" s="143"/>
      <c r="N111" s="143"/>
      <c r="O111" s="143"/>
    </row>
    <row r="112" spans="2:17" ht="12.95" customHeight="1" x14ac:dyDescent="0.2">
      <c r="B112" s="18" t="s">
        <v>81</v>
      </c>
      <c r="K112" s="160"/>
      <c r="L112" s="160"/>
      <c r="M112" s="160"/>
      <c r="N112" s="160"/>
      <c r="O112" s="160"/>
    </row>
    <row r="113" spans="1:20" ht="12.95" customHeight="1" x14ac:dyDescent="0.2">
      <c r="B113" s="1" t="s">
        <v>82</v>
      </c>
      <c r="K113" s="160">
        <f>+K128</f>
        <v>0</v>
      </c>
      <c r="L113" s="160">
        <f>+L128</f>
        <v>0</v>
      </c>
      <c r="M113" s="160">
        <f>+M128</f>
        <v>0</v>
      </c>
      <c r="N113" s="160">
        <f>+N128</f>
        <v>0</v>
      </c>
      <c r="O113" s="160">
        <f>+O128</f>
        <v>0</v>
      </c>
    </row>
    <row r="114" spans="1:20" s="93" customFormat="1" ht="12.95" customHeight="1" x14ac:dyDescent="0.2">
      <c r="B114" s="93" t="s">
        <v>156</v>
      </c>
      <c r="K114" s="136">
        <f ca="1">+K146</f>
        <v>-183.89455738511725</v>
      </c>
      <c r="L114" s="136">
        <f ca="1">+L146</f>
        <v>183.89455738511725</v>
      </c>
      <c r="M114" s="136">
        <f ca="1">+M146</f>
        <v>0</v>
      </c>
      <c r="N114" s="136">
        <f ca="1">+N146</f>
        <v>0</v>
      </c>
      <c r="O114" s="136">
        <f ca="1">+O146</f>
        <v>0</v>
      </c>
    </row>
    <row r="115" spans="1:20" s="93" customFormat="1" ht="12.95" customHeight="1" x14ac:dyDescent="0.2">
      <c r="B115" s="93" t="s">
        <v>112</v>
      </c>
      <c r="K115" s="136">
        <f t="shared" ref="K115:O117" si="17">+K134</f>
        <v>0</v>
      </c>
      <c r="L115" s="136">
        <f t="shared" si="17"/>
        <v>0</v>
      </c>
      <c r="M115" s="136">
        <f t="shared" si="17"/>
        <v>0</v>
      </c>
      <c r="N115" s="136">
        <f t="shared" si="17"/>
        <v>0</v>
      </c>
      <c r="O115" s="136">
        <f t="shared" si="17"/>
        <v>0</v>
      </c>
    </row>
    <row r="116" spans="1:20" s="93" customFormat="1" ht="12.95" customHeight="1" x14ac:dyDescent="0.2">
      <c r="B116" s="93" t="s">
        <v>113</v>
      </c>
      <c r="K116" s="136">
        <f t="shared" si="17"/>
        <v>-5</v>
      </c>
      <c r="L116" s="136">
        <f t="shared" si="17"/>
        <v>-5</v>
      </c>
      <c r="M116" s="136">
        <f t="shared" si="17"/>
        <v>-5</v>
      </c>
      <c r="N116" s="136">
        <f t="shared" si="17"/>
        <v>-5</v>
      </c>
      <c r="O116" s="136">
        <f t="shared" si="17"/>
        <v>-5</v>
      </c>
    </row>
    <row r="117" spans="1:20" ht="12.95" customHeight="1" x14ac:dyDescent="0.2">
      <c r="B117" s="93" t="s">
        <v>114</v>
      </c>
      <c r="C117" s="93"/>
      <c r="D117" s="93"/>
      <c r="E117" s="93"/>
      <c r="F117" s="93"/>
      <c r="G117" s="93"/>
      <c r="H117" s="93"/>
      <c r="I117" s="93"/>
      <c r="J117" s="93"/>
      <c r="K117" s="136">
        <f t="shared" ca="1" si="17"/>
        <v>-9.6979686824253619</v>
      </c>
      <c r="L117" s="136">
        <f t="shared" ca="1" si="17"/>
        <v>-10.507361870467868</v>
      </c>
      <c r="M117" s="136">
        <f t="shared" ca="1" si="17"/>
        <v>-11.467882873171408</v>
      </c>
      <c r="N117" s="136">
        <f t="shared" ca="1" si="17"/>
        <v>-12.697278991549025</v>
      </c>
      <c r="O117" s="136">
        <f t="shared" ca="1" si="17"/>
        <v>-14.078381194240828</v>
      </c>
    </row>
    <row r="118" spans="1:20" s="21" customFormat="1" ht="12.95" customHeight="1" x14ac:dyDescent="0.2">
      <c r="B118" s="256" t="s">
        <v>168</v>
      </c>
      <c r="C118" s="256"/>
      <c r="D118" s="256"/>
      <c r="E118" s="256"/>
      <c r="F118" s="256"/>
      <c r="G118" s="256"/>
      <c r="H118" s="257"/>
      <c r="I118" s="257"/>
      <c r="J118" s="257"/>
      <c r="K118" s="257">
        <f ca="1">+SUM(K113:K117)</f>
        <v>-198.59252606754262</v>
      </c>
      <c r="L118" s="257">
        <f ca="1">+SUM(L113:L117)</f>
        <v>168.38719551464939</v>
      </c>
      <c r="M118" s="257">
        <f ca="1">+SUM(M113:M117)</f>
        <v>-16.467882873171408</v>
      </c>
      <c r="N118" s="257">
        <f ca="1">+SUM(N113:N117)</f>
        <v>-17.697278991549027</v>
      </c>
      <c r="O118" s="257">
        <f ca="1">+SUM(O113:O117)</f>
        <v>-19.078381194240826</v>
      </c>
      <c r="T118" s="1"/>
    </row>
    <row r="119" spans="1:20" ht="12.95" customHeight="1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158"/>
      <c r="L119" s="158"/>
      <c r="M119" s="158"/>
      <c r="N119" s="158"/>
      <c r="O119" s="158"/>
      <c r="T119" s="92"/>
    </row>
    <row r="120" spans="1:20" s="93" customFormat="1" ht="12.95" customHeight="1" x14ac:dyDescent="0.2">
      <c r="B120" s="16" t="s">
        <v>83</v>
      </c>
      <c r="C120" s="16"/>
      <c r="D120" s="16"/>
      <c r="E120" s="16"/>
      <c r="F120" s="16"/>
      <c r="G120" s="16"/>
      <c r="H120" s="71"/>
      <c r="I120" s="71"/>
      <c r="J120" s="71"/>
      <c r="K120" s="155">
        <f ca="1">+K106+K110+K118</f>
        <v>5</v>
      </c>
      <c r="L120" s="155">
        <f ca="1">+L106+L110+L118</f>
        <v>388.89007177446979</v>
      </c>
      <c r="M120" s="155">
        <f ca="1">+M106+M110+M118</f>
        <v>224.04797545163069</v>
      </c>
      <c r="N120" s="155">
        <f ca="1">+N106+N110+N118</f>
        <v>248.29915776971535</v>
      </c>
      <c r="O120" s="155">
        <f ca="1">+O106+O110+O118</f>
        <v>275.53429531760804</v>
      </c>
      <c r="T120" s="92"/>
    </row>
    <row r="121" spans="1:20" ht="12.95" customHeight="1" x14ac:dyDescent="0.2">
      <c r="T121" s="92"/>
    </row>
    <row r="122" spans="1:20" ht="12.95" customHeight="1" x14ac:dyDescent="0.2">
      <c r="A122" s="1" t="s">
        <v>0</v>
      </c>
      <c r="B122" s="26" t="s">
        <v>84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30"/>
      <c r="T122" s="92"/>
    </row>
    <row r="124" spans="1:20" ht="12.95" customHeight="1" x14ac:dyDescent="0.35">
      <c r="K124" s="9" t="str">
        <f>+K98</f>
        <v>Fiscal Year Ended 12/31</v>
      </c>
      <c r="L124" s="10"/>
      <c r="M124" s="10"/>
      <c r="N124" s="10"/>
      <c r="O124" s="10"/>
    </row>
    <row r="125" spans="1:20" ht="12.95" customHeight="1" x14ac:dyDescent="0.2">
      <c r="K125" s="11">
        <f>+$K$25</f>
        <v>2021</v>
      </c>
      <c r="L125" s="11">
        <f>+$L$25</f>
        <v>2022</v>
      </c>
      <c r="M125" s="11">
        <f>+$M$25</f>
        <v>2023</v>
      </c>
      <c r="N125" s="11">
        <f>+$N$25</f>
        <v>2024</v>
      </c>
      <c r="O125" s="11">
        <f>+$O$25</f>
        <v>2025</v>
      </c>
    </row>
    <row r="126" spans="1:20" ht="12.95" customHeight="1" x14ac:dyDescent="0.2">
      <c r="B126" s="18" t="s">
        <v>85</v>
      </c>
    </row>
    <row r="127" spans="1:20" ht="12.95" customHeight="1" x14ac:dyDescent="0.2">
      <c r="B127" s="158" t="s">
        <v>133</v>
      </c>
      <c r="C127" s="20"/>
      <c r="D127" s="20"/>
      <c r="E127" s="20"/>
      <c r="F127" s="20"/>
      <c r="G127" s="20"/>
      <c r="H127" s="20"/>
      <c r="I127" s="20"/>
      <c r="J127" s="20"/>
      <c r="K127" s="170">
        <f>+K165</f>
        <v>0</v>
      </c>
      <c r="L127" s="170">
        <f>+L165</f>
        <v>0</v>
      </c>
      <c r="M127" s="170">
        <f>+M165</f>
        <v>0</v>
      </c>
      <c r="N127" s="170">
        <f>+N165</f>
        <v>0</v>
      </c>
      <c r="O127" s="170">
        <f>+O165</f>
        <v>0</v>
      </c>
    </row>
    <row r="128" spans="1:20" s="21" customFormat="1" ht="12.95" customHeight="1" x14ac:dyDescent="0.2">
      <c r="B128" s="21" t="s">
        <v>86</v>
      </c>
      <c r="H128" s="78"/>
      <c r="I128" s="78"/>
      <c r="J128" s="78"/>
      <c r="K128" s="147">
        <f>+SUM(K127)</f>
        <v>0</v>
      </c>
      <c r="L128" s="147">
        <f>+SUM(L127)</f>
        <v>0</v>
      </c>
      <c r="M128" s="147">
        <f>+SUM(M127)</f>
        <v>0</v>
      </c>
      <c r="N128" s="147">
        <f>+SUM(N127)</f>
        <v>0</v>
      </c>
      <c r="O128" s="147">
        <f>+SUM(O127)</f>
        <v>0</v>
      </c>
    </row>
    <row r="130" spans="2:15" ht="12.95" customHeight="1" x14ac:dyDescent="0.2">
      <c r="B130" s="18" t="s">
        <v>326</v>
      </c>
    </row>
    <row r="131" spans="2:15" ht="12.95" customHeight="1" x14ac:dyDescent="0.2">
      <c r="B131" s="1" t="s">
        <v>87</v>
      </c>
      <c r="K131" s="160">
        <f ca="1">+K106+K110</f>
        <v>203.59252606754262</v>
      </c>
      <c r="L131" s="160">
        <f ca="1">+L106+L110</f>
        <v>220.50287625982043</v>
      </c>
      <c r="M131" s="160">
        <f ca="1">+M106+M110</f>
        <v>240.51585832480211</v>
      </c>
      <c r="N131" s="160">
        <f ca="1">+N106+N110</f>
        <v>265.99643676126436</v>
      </c>
      <c r="O131" s="160">
        <f ca="1">+O106+O110</f>
        <v>294.61267651184886</v>
      </c>
    </row>
    <row r="132" spans="2:15" ht="12.95" customHeight="1" x14ac:dyDescent="0.2">
      <c r="B132" s="1" t="s">
        <v>88</v>
      </c>
      <c r="K132" s="137">
        <f>+K128</f>
        <v>0</v>
      </c>
      <c r="L132" s="137">
        <f>+L128</f>
        <v>0</v>
      </c>
      <c r="M132" s="137">
        <f>+M128</f>
        <v>0</v>
      </c>
      <c r="N132" s="137">
        <f>+N128</f>
        <v>0</v>
      </c>
      <c r="O132" s="137">
        <f>+O128</f>
        <v>0</v>
      </c>
    </row>
    <row r="133" spans="2:15" s="92" customFormat="1" ht="12.95" customHeight="1" x14ac:dyDescent="0.2">
      <c r="B133" s="16" t="s">
        <v>323</v>
      </c>
      <c r="C133" s="16"/>
      <c r="D133" s="16"/>
      <c r="E133" s="16"/>
      <c r="F133" s="16"/>
      <c r="G133" s="16"/>
      <c r="H133" s="16"/>
      <c r="I133" s="16"/>
      <c r="J133" s="16"/>
      <c r="K133" s="155">
        <f ca="1">SUM(K131:K132)</f>
        <v>203.59252606754262</v>
      </c>
      <c r="L133" s="155">
        <f ca="1">SUM(L131:L132)</f>
        <v>220.50287625982043</v>
      </c>
      <c r="M133" s="155">
        <f ca="1">SUM(M131:M132)</f>
        <v>240.51585832480211</v>
      </c>
      <c r="N133" s="155">
        <f ca="1">SUM(N131:N132)</f>
        <v>265.99643676126436</v>
      </c>
      <c r="O133" s="155">
        <f ca="1">SUM(O131:O132)</f>
        <v>294.61267651184886</v>
      </c>
    </row>
    <row r="134" spans="2:15" ht="12.95" customHeight="1" x14ac:dyDescent="0.2">
      <c r="B134" s="1" t="s">
        <v>115</v>
      </c>
      <c r="K134" s="171">
        <f>+K84</f>
        <v>0</v>
      </c>
      <c r="L134" s="171">
        <f>+L84</f>
        <v>0</v>
      </c>
      <c r="M134" s="171">
        <f>+M84</f>
        <v>0</v>
      </c>
      <c r="N134" s="171">
        <f>+N84</f>
        <v>0</v>
      </c>
      <c r="O134" s="171">
        <f>+O84</f>
        <v>0</v>
      </c>
    </row>
    <row r="135" spans="2:15" ht="12.95" customHeight="1" x14ac:dyDescent="0.2">
      <c r="B135" s="1" t="s">
        <v>116</v>
      </c>
      <c r="K135" s="171">
        <f t="shared" ref="K135:O136" si="18">-K87</f>
        <v>-5</v>
      </c>
      <c r="L135" s="171">
        <f t="shared" si="18"/>
        <v>-5</v>
      </c>
      <c r="M135" s="171">
        <f t="shared" si="18"/>
        <v>-5</v>
      </c>
      <c r="N135" s="171">
        <f t="shared" si="18"/>
        <v>-5</v>
      </c>
      <c r="O135" s="171">
        <f t="shared" si="18"/>
        <v>-5</v>
      </c>
    </row>
    <row r="136" spans="2:15" ht="12.95" customHeight="1" x14ac:dyDescent="0.2">
      <c r="B136" s="20" t="s">
        <v>117</v>
      </c>
      <c r="C136" s="20"/>
      <c r="D136" s="20"/>
      <c r="E136" s="20"/>
      <c r="F136" s="20"/>
      <c r="G136" s="20"/>
      <c r="H136" s="20"/>
      <c r="I136" s="20"/>
      <c r="J136" s="20"/>
      <c r="K136" s="172">
        <f t="shared" ca="1" si="18"/>
        <v>-9.6979686824253619</v>
      </c>
      <c r="L136" s="172">
        <f t="shared" ca="1" si="18"/>
        <v>-10.507361870467868</v>
      </c>
      <c r="M136" s="172">
        <f t="shared" ca="1" si="18"/>
        <v>-11.467882873171408</v>
      </c>
      <c r="N136" s="172">
        <f t="shared" ca="1" si="18"/>
        <v>-12.697278991549025</v>
      </c>
      <c r="O136" s="172">
        <f t="shared" ca="1" si="18"/>
        <v>-14.078381194240828</v>
      </c>
    </row>
    <row r="137" spans="2:15" s="21" customFormat="1" ht="12.95" customHeight="1" x14ac:dyDescent="0.2">
      <c r="B137" s="21" t="s">
        <v>324</v>
      </c>
      <c r="C137" s="92"/>
      <c r="D137" s="92"/>
      <c r="E137" s="92"/>
      <c r="F137" s="92"/>
      <c r="G137" s="92"/>
      <c r="H137" s="92"/>
      <c r="I137" s="92"/>
      <c r="J137" s="92"/>
      <c r="K137" s="94">
        <f ca="1">+SUM(K133:K136)</f>
        <v>188.89455738511725</v>
      </c>
      <c r="L137" s="94">
        <f ca="1">+SUM(L133:L136)</f>
        <v>204.99551438935256</v>
      </c>
      <c r="M137" s="94">
        <f ca="1">+SUM(M133:M136)</f>
        <v>224.04797545163069</v>
      </c>
      <c r="N137" s="94">
        <f ca="1">+SUM(N133:N136)</f>
        <v>248.29915776971535</v>
      </c>
      <c r="O137" s="94">
        <f ca="1">+SUM(O133:O136)</f>
        <v>275.53429531760804</v>
      </c>
    </row>
    <row r="139" spans="2:15" ht="12.95" customHeight="1" x14ac:dyDescent="0.2">
      <c r="B139" s="1" t="s">
        <v>89</v>
      </c>
      <c r="H139" s="23"/>
      <c r="I139" s="23"/>
      <c r="J139" s="23"/>
      <c r="K139" s="160">
        <f>+K176</f>
        <v>0</v>
      </c>
      <c r="L139" s="160">
        <f ca="1">+L176</f>
        <v>5</v>
      </c>
      <c r="M139" s="160">
        <f ca="1">+M176</f>
        <v>393.89007177446979</v>
      </c>
      <c r="N139" s="160">
        <f ca="1">+N176</f>
        <v>617.93804722610048</v>
      </c>
      <c r="O139" s="160">
        <f ca="1">+O176</f>
        <v>866.23720499581577</v>
      </c>
    </row>
    <row r="140" spans="2:15" ht="12.95" customHeight="1" x14ac:dyDescent="0.2">
      <c r="B140" s="1" t="s">
        <v>90</v>
      </c>
      <c r="H140" s="23"/>
      <c r="I140" s="23"/>
      <c r="J140" s="23"/>
      <c r="K140" s="137">
        <f>-$E$6</f>
        <v>-5</v>
      </c>
      <c r="L140" s="137">
        <f>-$E$6</f>
        <v>-5</v>
      </c>
      <c r="M140" s="137">
        <f>-$E$6</f>
        <v>-5</v>
      </c>
      <c r="N140" s="137">
        <f>-$E$6</f>
        <v>-5</v>
      </c>
      <c r="O140" s="137">
        <f>-$E$6</f>
        <v>-5</v>
      </c>
    </row>
    <row r="141" spans="2:15" ht="12.95" customHeight="1" x14ac:dyDescent="0.2">
      <c r="B141" s="1" t="s">
        <v>325</v>
      </c>
      <c r="H141" s="23"/>
      <c r="I141" s="23"/>
      <c r="J141" s="23"/>
      <c r="K141" s="137">
        <f ca="1">+K137</f>
        <v>188.89455738511725</v>
      </c>
      <c r="L141" s="137">
        <f ca="1">+L137</f>
        <v>204.99551438935256</v>
      </c>
      <c r="M141" s="137">
        <f ca="1">+M137</f>
        <v>224.04797545163069</v>
      </c>
      <c r="N141" s="137">
        <f ca="1">+N137</f>
        <v>248.29915776971535</v>
      </c>
      <c r="O141" s="137">
        <f ca="1">+O137</f>
        <v>275.53429531760804</v>
      </c>
    </row>
    <row r="142" spans="2:15" s="92" customFormat="1" ht="12.95" customHeight="1" x14ac:dyDescent="0.2">
      <c r="B142" s="16" t="s">
        <v>91</v>
      </c>
      <c r="C142" s="16"/>
      <c r="D142" s="16"/>
      <c r="E142" s="16"/>
      <c r="F142" s="16"/>
      <c r="G142" s="16"/>
      <c r="H142" s="71"/>
      <c r="I142" s="71"/>
      <c r="J142" s="71"/>
      <c r="K142" s="155">
        <f ca="1">SUM(K139:K141)</f>
        <v>183.89455738511725</v>
      </c>
      <c r="L142" s="155">
        <f ca="1">SUM(L139:L141)</f>
        <v>204.99551438935256</v>
      </c>
      <c r="M142" s="155">
        <f ca="1">SUM(M139:M141)</f>
        <v>612.93804722610048</v>
      </c>
      <c r="N142" s="155">
        <f ca="1">SUM(N139:N141)</f>
        <v>861.23720499581577</v>
      </c>
      <c r="O142" s="155">
        <f ca="1">SUM(O139:O141)</f>
        <v>1136.7715003134238</v>
      </c>
    </row>
    <row r="144" spans="2:15" s="21" customFormat="1" ht="12.95" customHeight="1" x14ac:dyDescent="0.2">
      <c r="B144" s="18" t="s">
        <v>154</v>
      </c>
    </row>
    <row r="145" spans="1:17" ht="12.95" customHeight="1" x14ac:dyDescent="0.2">
      <c r="B145" s="158" t="s">
        <v>12</v>
      </c>
      <c r="C145" s="20"/>
      <c r="D145" s="20"/>
      <c r="E145" s="20"/>
      <c r="F145" s="20"/>
      <c r="G145" s="20"/>
      <c r="H145" s="20"/>
      <c r="I145" s="20"/>
      <c r="J145" s="20"/>
      <c r="K145" s="140">
        <f ca="1">+K154</f>
        <v>-183.89455738511725</v>
      </c>
      <c r="L145" s="140">
        <f ca="1">+L154</f>
        <v>183.89455738511725</v>
      </c>
      <c r="M145" s="140">
        <f ca="1">+M154</f>
        <v>0</v>
      </c>
      <c r="N145" s="140">
        <f ca="1">+N154</f>
        <v>0</v>
      </c>
      <c r="O145" s="140">
        <f ca="1">+O154</f>
        <v>0</v>
      </c>
    </row>
    <row r="146" spans="1:17" s="21" customFormat="1" ht="12.95" customHeight="1" x14ac:dyDescent="0.2">
      <c r="B146" s="92" t="s">
        <v>155</v>
      </c>
      <c r="C146" s="92"/>
      <c r="D146" s="92"/>
      <c r="E146" s="92"/>
      <c r="F146" s="92"/>
      <c r="G146" s="92"/>
      <c r="H146" s="92"/>
      <c r="I146" s="92"/>
      <c r="J146" s="92"/>
      <c r="K146" s="154">
        <f ca="1">SUM(K145:K145)</f>
        <v>-183.89455738511725</v>
      </c>
      <c r="L146" s="154">
        <f ca="1">SUM(L145:L145)</f>
        <v>183.89455738511725</v>
      </c>
      <c r="M146" s="154">
        <f ca="1">SUM(M145:M145)</f>
        <v>0</v>
      </c>
      <c r="N146" s="154">
        <f ca="1">SUM(N145:N145)</f>
        <v>0</v>
      </c>
      <c r="O146" s="154">
        <f ca="1">SUM(O145:O145)</f>
        <v>0</v>
      </c>
    </row>
    <row r="148" spans="1:17" ht="12.95" customHeight="1" x14ac:dyDescent="0.2">
      <c r="A148" s="1" t="s">
        <v>0</v>
      </c>
      <c r="B148" s="26" t="s">
        <v>92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30"/>
    </row>
    <row r="150" spans="1:17" ht="12.95" customHeight="1" x14ac:dyDescent="0.35">
      <c r="K150" s="9" t="str">
        <f>+K124</f>
        <v>Fiscal Year Ended 12/31</v>
      </c>
      <c r="L150" s="10"/>
      <c r="M150" s="10"/>
      <c r="N150" s="10"/>
      <c r="O150" s="10"/>
    </row>
    <row r="151" spans="1:17" ht="12.95" customHeight="1" x14ac:dyDescent="0.2">
      <c r="K151" s="11">
        <f>+$K$25</f>
        <v>2021</v>
      </c>
      <c r="L151" s="11">
        <f>+$L$25</f>
        <v>2022</v>
      </c>
      <c r="M151" s="11">
        <f>+$M$25</f>
        <v>2023</v>
      </c>
      <c r="N151" s="11">
        <f>+$N$25</f>
        <v>2024</v>
      </c>
      <c r="O151" s="11">
        <f>+$O$25</f>
        <v>2025</v>
      </c>
    </row>
    <row r="152" spans="1:17" ht="12.95" customHeight="1" x14ac:dyDescent="0.2">
      <c r="B152" s="174" t="str">
        <f>+B145</f>
        <v>Revolving Credit Facility</v>
      </c>
      <c r="C152" s="20"/>
      <c r="D152" s="20"/>
      <c r="E152" s="20"/>
      <c r="F152" s="20"/>
      <c r="G152" s="20"/>
      <c r="H152" s="20"/>
      <c r="I152" s="20"/>
      <c r="J152" s="20"/>
      <c r="K152" s="93"/>
      <c r="L152" s="20"/>
      <c r="M152" s="20"/>
      <c r="N152" s="20"/>
      <c r="O152" s="20"/>
    </row>
    <row r="153" spans="1:17" ht="12.95" customHeight="1" x14ac:dyDescent="0.2">
      <c r="B153" s="1" t="s">
        <v>93</v>
      </c>
      <c r="K153" s="445"/>
      <c r="L153" s="160">
        <f ca="1">+K155</f>
        <v>-183.89455738511725</v>
      </c>
      <c r="M153" s="160">
        <f ca="1">+L155</f>
        <v>0</v>
      </c>
      <c r="N153" s="160">
        <f ca="1">+M155</f>
        <v>0</v>
      </c>
      <c r="O153" s="160">
        <f ca="1">+N155</f>
        <v>0</v>
      </c>
      <c r="Q153" s="81" t="s">
        <v>407</v>
      </c>
    </row>
    <row r="154" spans="1:17" ht="12.95" customHeight="1" x14ac:dyDescent="0.2">
      <c r="B154" s="20" t="s">
        <v>94</v>
      </c>
      <c r="C154" s="20"/>
      <c r="D154" s="20"/>
      <c r="E154" s="20"/>
      <c r="F154" s="20"/>
      <c r="G154" s="20"/>
      <c r="H154" s="20"/>
      <c r="I154" s="20"/>
      <c r="J154" s="20"/>
      <c r="K154" s="140">
        <f ca="1">-MIN(K153,K142)</f>
        <v>-183.89455738511725</v>
      </c>
      <c r="L154" s="140">
        <f ca="1">-MIN(L153,L142)</f>
        <v>183.89455738511725</v>
      </c>
      <c r="M154" s="140">
        <f ca="1">-MIN(M153,M142)</f>
        <v>0</v>
      </c>
      <c r="N154" s="140">
        <f ca="1">-MIN(N153,N142)</f>
        <v>0</v>
      </c>
      <c r="O154" s="140">
        <f ca="1">-MIN(O153,O142)</f>
        <v>0</v>
      </c>
    </row>
    <row r="155" spans="1:17" ht="12.95" customHeight="1" x14ac:dyDescent="0.2">
      <c r="B155" s="21" t="s">
        <v>95</v>
      </c>
      <c r="C155" s="21"/>
      <c r="D155" s="21"/>
      <c r="E155" s="21"/>
      <c r="F155" s="21"/>
      <c r="G155" s="21"/>
      <c r="H155" s="21"/>
      <c r="I155" s="21"/>
      <c r="J155" s="21"/>
      <c r="K155" s="147">
        <f ca="1">SUM(K153:K154)</f>
        <v>-183.89455738511725</v>
      </c>
      <c r="L155" s="147">
        <f ca="1">SUM(L153:L154)</f>
        <v>0</v>
      </c>
      <c r="M155" s="147">
        <f ca="1">SUM(M153:M154)</f>
        <v>0</v>
      </c>
      <c r="N155" s="147">
        <f ca="1">SUM(N153:N154)</f>
        <v>0</v>
      </c>
      <c r="O155" s="147">
        <f ca="1">SUM(O153:O154)</f>
        <v>0</v>
      </c>
    </row>
    <row r="156" spans="1:17" ht="12.95" customHeight="1" x14ac:dyDescent="0.2">
      <c r="B156" s="21"/>
      <c r="C156" s="21"/>
      <c r="D156" s="21"/>
      <c r="E156" s="21"/>
      <c r="F156" s="21"/>
      <c r="G156" s="21"/>
      <c r="H156" s="21"/>
      <c r="I156" s="21"/>
      <c r="J156" s="21"/>
      <c r="K156" s="175"/>
      <c r="L156" s="175"/>
      <c r="M156" s="175"/>
      <c r="N156" s="175"/>
      <c r="O156" s="175"/>
    </row>
    <row r="157" spans="1:17" ht="12.95" customHeight="1" x14ac:dyDescent="0.25">
      <c r="B157" s="1" t="s">
        <v>96</v>
      </c>
      <c r="G157" s="1" t="s">
        <v>169</v>
      </c>
      <c r="H157"/>
      <c r="I157" s="299">
        <v>50</v>
      </c>
      <c r="K157" s="137">
        <f ca="1">+AVERAGE(K153,K155)</f>
        <v>-183.89455738511725</v>
      </c>
      <c r="L157" s="137">
        <f ca="1">+AVERAGE(L153,L155)</f>
        <v>-91.947278692558626</v>
      </c>
      <c r="M157" s="137">
        <f ca="1">+AVERAGE(M153,M155)</f>
        <v>0</v>
      </c>
      <c r="N157" s="137">
        <f ca="1">+AVERAGE(N153,N155)</f>
        <v>0</v>
      </c>
      <c r="O157" s="137">
        <f ca="1">+AVERAGE(O153,O155)</f>
        <v>0</v>
      </c>
    </row>
    <row r="158" spans="1:17" ht="12.95" customHeight="1" x14ac:dyDescent="0.2">
      <c r="B158" s="1" t="s">
        <v>97</v>
      </c>
      <c r="G158" s="1" t="s">
        <v>138</v>
      </c>
      <c r="I158" s="258">
        <v>0.05</v>
      </c>
      <c r="K158" s="160">
        <f ca="1">+IF($E$5=1,K157,0)*$I$158</f>
        <v>-9.1947278692558623</v>
      </c>
      <c r="L158" s="160">
        <f ca="1">+IF($E$5=1,L157,0)*$I$158</f>
        <v>-4.5973639346279311</v>
      </c>
      <c r="M158" s="160">
        <f ca="1">+IF($E$5=1,M157,0)*$I$158</f>
        <v>0</v>
      </c>
      <c r="N158" s="160">
        <f ca="1">+IF($E$5=1,N157,0)*$I$158</f>
        <v>0</v>
      </c>
      <c r="O158" s="160">
        <f ca="1">+IF($E$5=1,O157,0)*$I$158</f>
        <v>0</v>
      </c>
    </row>
    <row r="159" spans="1:17" ht="3" customHeight="1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7" ht="12.95" hidden="1" customHeight="1" outlineLevel="1" x14ac:dyDescent="0.2"/>
    <row r="161" spans="1:17" ht="12.95" hidden="1" customHeight="1" outlineLevel="1" x14ac:dyDescent="0.2">
      <c r="B161" s="1" t="s">
        <v>98</v>
      </c>
      <c r="K161" s="259">
        <f ca="1">+IF(K155&gt;$I$157,1,0)</f>
        <v>0</v>
      </c>
      <c r="L161" s="259">
        <f ca="1">+IF(L155&gt;$I$157,1,0)</f>
        <v>0</v>
      </c>
      <c r="M161" s="259">
        <f ca="1">+IF(M155&gt;$I$157,1,0)</f>
        <v>0</v>
      </c>
      <c r="N161" s="259">
        <f ca="1">+IF(N155&gt;$I$157,1,0)</f>
        <v>0</v>
      </c>
      <c r="O161" s="259">
        <f ca="1">+IF(O155&gt;$I$157,1,0)</f>
        <v>0</v>
      </c>
    </row>
    <row r="162" spans="1:17" ht="12.95" customHeight="1" collapsed="1" x14ac:dyDescent="0.2"/>
    <row r="163" spans="1:17" ht="12.95" customHeight="1" x14ac:dyDescent="0.2">
      <c r="B163" s="174" t="str">
        <f>+B127</f>
        <v>Long-Term Debt</v>
      </c>
      <c r="C163" s="28"/>
      <c r="D163" s="28"/>
      <c r="E163" s="28"/>
      <c r="F163" s="28"/>
      <c r="G163" s="28"/>
      <c r="H163" s="20"/>
      <c r="I163" s="28"/>
      <c r="J163" s="28"/>
      <c r="K163" s="28"/>
      <c r="L163" s="28"/>
      <c r="M163" s="28"/>
      <c r="N163" s="28"/>
      <c r="O163" s="28"/>
    </row>
    <row r="164" spans="1:17" ht="12.95" customHeight="1" x14ac:dyDescent="0.2">
      <c r="B164" s="1" t="s">
        <v>93</v>
      </c>
      <c r="K164" s="446"/>
      <c r="L164" s="160">
        <f>+K166</f>
        <v>0</v>
      </c>
      <c r="M164" s="160">
        <f>+L166</f>
        <v>0</v>
      </c>
      <c r="N164" s="160">
        <f>+M166</f>
        <v>0</v>
      </c>
      <c r="O164" s="160">
        <f>+N166</f>
        <v>0</v>
      </c>
      <c r="Q164" s="81" t="s">
        <v>405</v>
      </c>
    </row>
    <row r="165" spans="1:17" ht="12.95" customHeight="1" x14ac:dyDescent="0.2">
      <c r="B165" s="20" t="s">
        <v>99</v>
      </c>
      <c r="C165" s="20"/>
      <c r="D165" s="20"/>
      <c r="E165" s="20"/>
      <c r="F165" s="20"/>
      <c r="G165" s="20"/>
      <c r="H165" s="20"/>
      <c r="I165" s="20"/>
      <c r="J165" s="20"/>
      <c r="K165" s="138">
        <v>0</v>
      </c>
      <c r="L165" s="138">
        <v>0</v>
      </c>
      <c r="M165" s="138">
        <v>0</v>
      </c>
      <c r="N165" s="138">
        <v>0</v>
      </c>
      <c r="O165" s="138">
        <v>0</v>
      </c>
    </row>
    <row r="166" spans="1:17" ht="12.95" customHeight="1" x14ac:dyDescent="0.2">
      <c r="B166" s="92" t="s">
        <v>95</v>
      </c>
      <c r="C166" s="92"/>
      <c r="D166" s="92"/>
      <c r="E166" s="92"/>
      <c r="F166" s="92"/>
      <c r="G166" s="92"/>
      <c r="H166" s="93"/>
      <c r="I166" s="92"/>
      <c r="J166" s="92"/>
      <c r="K166" s="154">
        <f>SUM(K164:K165)</f>
        <v>0</v>
      </c>
      <c r="L166" s="154">
        <f>SUM(L164:L165)</f>
        <v>0</v>
      </c>
      <c r="M166" s="154">
        <f>SUM(M164:M165)</f>
        <v>0</v>
      </c>
      <c r="N166" s="154">
        <f>SUM(N164:N165)</f>
        <v>0</v>
      </c>
      <c r="O166" s="154">
        <f>SUM(O164:O165)</f>
        <v>0</v>
      </c>
    </row>
    <row r="167" spans="1:17" ht="12.95" customHeight="1" x14ac:dyDescent="0.2">
      <c r="B167" s="21"/>
      <c r="C167" s="21"/>
      <c r="D167" s="21"/>
      <c r="E167" s="21"/>
      <c r="F167" s="21"/>
      <c r="G167" s="21"/>
      <c r="I167" s="21"/>
      <c r="J167" s="21"/>
      <c r="K167" s="21"/>
      <c r="L167" s="21"/>
      <c r="M167" s="21"/>
      <c r="N167" s="21"/>
      <c r="O167" s="21"/>
    </row>
    <row r="168" spans="1:17" ht="12.95" customHeight="1" x14ac:dyDescent="0.2">
      <c r="B168" s="1" t="s">
        <v>96</v>
      </c>
      <c r="K168" s="160">
        <f>+AVERAGE(K164,K166)</f>
        <v>0</v>
      </c>
      <c r="L168" s="160">
        <f>+AVERAGE(L164,L166)</f>
        <v>0</v>
      </c>
      <c r="M168" s="160">
        <f>+AVERAGE(M164,M166)</f>
        <v>0</v>
      </c>
      <c r="N168" s="160">
        <f>+AVERAGE(N164,N166)</f>
        <v>0</v>
      </c>
      <c r="O168" s="160">
        <f>+AVERAGE(O164,O166)</f>
        <v>0</v>
      </c>
    </row>
    <row r="169" spans="1:17" ht="12.95" customHeight="1" x14ac:dyDescent="0.2">
      <c r="B169" s="1" t="s">
        <v>97</v>
      </c>
      <c r="G169" s="93" t="s">
        <v>138</v>
      </c>
      <c r="H169" s="93"/>
      <c r="I169" s="173">
        <v>0.05</v>
      </c>
      <c r="K169" s="160">
        <f>+IF($E$5=1,K168,0)*$I$169</f>
        <v>0</v>
      </c>
      <c r="L169" s="160">
        <f>+IF($E$5=1,L168,0)*$I$169</f>
        <v>0</v>
      </c>
      <c r="M169" s="160">
        <f>+IF($E$5=1,M168,0)*$I$169</f>
        <v>0</v>
      </c>
      <c r="N169" s="160">
        <f>+IF($E$5=1,N168,0)*$I$169</f>
        <v>0</v>
      </c>
      <c r="O169" s="160">
        <f>+IF($E$5=1,O168,0)*$I$169</f>
        <v>0</v>
      </c>
    </row>
    <row r="170" spans="1:17" ht="3" customHeight="1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2" spans="1:17" ht="12.95" customHeight="1" x14ac:dyDescent="0.2">
      <c r="A172" s="1" t="s">
        <v>0</v>
      </c>
      <c r="B172" s="26" t="s">
        <v>380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30"/>
    </row>
    <row r="174" spans="1:17" ht="12.95" customHeight="1" x14ac:dyDescent="0.35">
      <c r="K174" s="9" t="str">
        <f>+K150</f>
        <v>Fiscal Year Ended 12/31</v>
      </c>
      <c r="L174" s="10"/>
      <c r="M174" s="10"/>
      <c r="N174" s="10"/>
      <c r="O174" s="10"/>
    </row>
    <row r="175" spans="1:17" ht="12.95" customHeight="1" x14ac:dyDescent="0.2">
      <c r="B175" s="93"/>
      <c r="C175" s="93"/>
      <c r="D175" s="93"/>
      <c r="E175" s="93"/>
      <c r="F175" s="93"/>
      <c r="G175" s="93"/>
      <c r="H175" s="93"/>
      <c r="I175" s="93"/>
      <c r="J175" s="93"/>
      <c r="K175" s="191">
        <f>+$K$25</f>
        <v>2021</v>
      </c>
      <c r="L175" s="191">
        <f>+$L$25</f>
        <v>2022</v>
      </c>
      <c r="M175" s="191">
        <f>+$M$25</f>
        <v>2023</v>
      </c>
      <c r="N175" s="191">
        <f>+$N$25</f>
        <v>2024</v>
      </c>
      <c r="O175" s="191">
        <f>+$O$25</f>
        <v>2025</v>
      </c>
    </row>
    <row r="176" spans="1:17" s="93" customFormat="1" ht="12.95" customHeight="1" x14ac:dyDescent="0.2">
      <c r="B176" s="67" t="s">
        <v>93</v>
      </c>
      <c r="C176" s="67"/>
      <c r="D176" s="67"/>
      <c r="E176" s="67"/>
      <c r="F176" s="67"/>
      <c r="G176" s="67"/>
      <c r="H176" s="67"/>
      <c r="I176" s="67"/>
      <c r="J176" s="67"/>
      <c r="K176" s="445"/>
      <c r="L176" s="118">
        <f ca="1">+K178</f>
        <v>5</v>
      </c>
      <c r="M176" s="118">
        <f ca="1">+L178</f>
        <v>393.89007177446979</v>
      </c>
      <c r="N176" s="118">
        <f ca="1">+M178</f>
        <v>617.93804722610048</v>
      </c>
      <c r="O176" s="118">
        <f ca="1">+N178</f>
        <v>866.23720499581577</v>
      </c>
      <c r="Q176" s="81" t="s">
        <v>406</v>
      </c>
    </row>
    <row r="177" spans="1:23" ht="12.95" customHeight="1" x14ac:dyDescent="0.2">
      <c r="B177" s="20" t="s">
        <v>381</v>
      </c>
      <c r="C177" s="20"/>
      <c r="D177" s="20"/>
      <c r="E177" s="20"/>
      <c r="F177" s="20"/>
      <c r="G177" s="20"/>
      <c r="H177" s="20"/>
      <c r="I177" s="20"/>
      <c r="J177" s="20"/>
      <c r="K177" s="140">
        <f ca="1">+K120</f>
        <v>5</v>
      </c>
      <c r="L177" s="140">
        <f ca="1">+L120</f>
        <v>388.89007177446979</v>
      </c>
      <c r="M177" s="140">
        <f ca="1">+M120</f>
        <v>224.04797545163069</v>
      </c>
      <c r="N177" s="140">
        <f ca="1">+N120</f>
        <v>248.29915776971535</v>
      </c>
      <c r="O177" s="140">
        <f ca="1">+O120</f>
        <v>275.53429531760804</v>
      </c>
    </row>
    <row r="178" spans="1:23" s="21" customFormat="1" ht="12.95" customHeight="1" x14ac:dyDescent="0.2">
      <c r="B178" s="16" t="s">
        <v>95</v>
      </c>
      <c r="C178" s="16"/>
      <c r="D178" s="16"/>
      <c r="E178" s="16"/>
      <c r="F178" s="16"/>
      <c r="G178" s="16"/>
      <c r="H178" s="16"/>
      <c r="I178" s="16"/>
      <c r="J178" s="16"/>
      <c r="K178" s="155">
        <f ca="1">SUM(K176:K177)</f>
        <v>5</v>
      </c>
      <c r="L178" s="155">
        <f ca="1">SUM(L176:L177)</f>
        <v>393.89007177446979</v>
      </c>
      <c r="M178" s="155">
        <f ca="1">SUM(M176:M177)</f>
        <v>617.93804722610048</v>
      </c>
      <c r="N178" s="155">
        <f ca="1">SUM(N176:N177)</f>
        <v>866.23720499581577</v>
      </c>
      <c r="O178" s="155">
        <f ca="1">SUM(O176:O177)</f>
        <v>1141.7715003134238</v>
      </c>
    </row>
    <row r="180" spans="1:23" ht="12.95" customHeight="1" x14ac:dyDescent="0.2">
      <c r="B180" s="1" t="s">
        <v>96</v>
      </c>
      <c r="K180" s="137">
        <f ca="1">+AVERAGE(K176,K178)</f>
        <v>5</v>
      </c>
      <c r="L180" s="137">
        <f ca="1">+AVERAGE(L176,L178)</f>
        <v>199.44503588723489</v>
      </c>
      <c r="M180" s="137">
        <f ca="1">+AVERAGE(M176,M178)</f>
        <v>505.91405950028513</v>
      </c>
      <c r="N180" s="137">
        <f ca="1">+AVERAGE(N176,N178)</f>
        <v>742.08762611095813</v>
      </c>
      <c r="O180" s="137">
        <f ca="1">+AVERAGE(O176,O178)</f>
        <v>1004.0043526546198</v>
      </c>
    </row>
    <row r="181" spans="1:23" ht="12.95" customHeight="1" x14ac:dyDescent="0.2">
      <c r="B181" s="20" t="s">
        <v>100</v>
      </c>
      <c r="C181" s="20"/>
      <c r="D181" s="20"/>
      <c r="E181" s="20"/>
      <c r="F181" s="20"/>
      <c r="G181" s="260" t="s">
        <v>101</v>
      </c>
      <c r="H181" s="20"/>
      <c r="I181" s="79">
        <v>0.01</v>
      </c>
      <c r="J181" s="20"/>
      <c r="K181" s="170">
        <f ca="1">+IF($E$5=1,K180,0)*$I$181</f>
        <v>0.05</v>
      </c>
      <c r="L181" s="170">
        <f ca="1">+IF($E$5=1,L180,0)*$I$181</f>
        <v>1.994450358872349</v>
      </c>
      <c r="M181" s="170">
        <f ca="1">+IF($E$5=1,M180,0)*$I$181</f>
        <v>5.0591405950028516</v>
      </c>
      <c r="N181" s="170">
        <f ca="1">+IF($E$5=1,N180,0)*$I$181</f>
        <v>7.4208762611095818</v>
      </c>
      <c r="O181" s="170">
        <f ca="1">+IF($E$5=1,O180,0)*$I$181</f>
        <v>10.040043526546198</v>
      </c>
    </row>
    <row r="182" spans="1:23" ht="12.95" customHeight="1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1:23" ht="12.95" customHeight="1" x14ac:dyDescent="0.2">
      <c r="A183" s="1" t="s">
        <v>0</v>
      </c>
      <c r="B183" s="26" t="s">
        <v>139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30"/>
    </row>
    <row r="185" spans="1:23" ht="12.95" customHeight="1" x14ac:dyDescent="0.35">
      <c r="H185" s="98" t="str">
        <f>+$K$174</f>
        <v>Fiscal Year Ended 12/31</v>
      </c>
      <c r="I185" s="108"/>
      <c r="J185" s="98"/>
      <c r="K185" s="31"/>
      <c r="L185" s="99"/>
      <c r="M185" s="99"/>
      <c r="N185" s="99"/>
      <c r="O185" s="99"/>
    </row>
    <row r="186" spans="1:23" ht="12.95" customHeight="1" x14ac:dyDescent="0.2">
      <c r="H186" s="32">
        <f>+$H$25</f>
        <v>2018</v>
      </c>
      <c r="I186" s="32">
        <f>+$I$25</f>
        <v>2019</v>
      </c>
      <c r="J186" s="33">
        <f>+$J$25</f>
        <v>2020</v>
      </c>
      <c r="K186" s="11">
        <f>+$K$25</f>
        <v>2021</v>
      </c>
      <c r="L186" s="11">
        <f>+$L$25</f>
        <v>2022</v>
      </c>
      <c r="M186" s="11">
        <f>+$M$25</f>
        <v>2023</v>
      </c>
      <c r="N186" s="11">
        <f>+$N$25</f>
        <v>2024</v>
      </c>
      <c r="O186" s="11">
        <f>+$O$25</f>
        <v>2025</v>
      </c>
    </row>
    <row r="187" spans="1:23" ht="12.95" customHeight="1" x14ac:dyDescent="0.2">
      <c r="B187" s="1" t="s">
        <v>39</v>
      </c>
      <c r="H187" s="17">
        <f t="shared" ref="H187:O187" si="19">+H35</f>
        <v>144.38336269074406</v>
      </c>
      <c r="I187" s="17">
        <f t="shared" si="19"/>
        <v>158.09058392211767</v>
      </c>
      <c r="J187" s="213">
        <f t="shared" si="19"/>
        <v>173.73619092811771</v>
      </c>
      <c r="K187" s="17">
        <f t="shared" ca="1" si="19"/>
        <v>193.95937364850724</v>
      </c>
      <c r="L187" s="17">
        <f t="shared" ca="1" si="19"/>
        <v>210.14723740935736</v>
      </c>
      <c r="M187" s="17">
        <f t="shared" ca="1" si="19"/>
        <v>229.35765746342815</v>
      </c>
      <c r="N187" s="17">
        <f t="shared" ca="1" si="19"/>
        <v>253.94557983098048</v>
      </c>
      <c r="O187" s="17">
        <f t="shared" ca="1" si="19"/>
        <v>281.56762388481656</v>
      </c>
    </row>
    <row r="188" spans="1:23" ht="12.95" customHeight="1" x14ac:dyDescent="0.25">
      <c r="J188" s="192"/>
      <c r="Q188"/>
      <c r="R188"/>
      <c r="S188"/>
      <c r="T188"/>
    </row>
    <row r="189" spans="1:23" ht="12.95" customHeight="1" x14ac:dyDescent="0.25">
      <c r="B189" s="255" t="s">
        <v>158</v>
      </c>
      <c r="J189" s="192"/>
      <c r="Q189"/>
      <c r="R189"/>
      <c r="S189"/>
      <c r="T189"/>
    </row>
    <row r="190" spans="1:23" ht="12.95" customHeight="1" x14ac:dyDescent="0.25">
      <c r="B190" s="1" t="s">
        <v>140</v>
      </c>
      <c r="H190" s="135">
        <f>+H37</f>
        <v>100.91013022450269</v>
      </c>
      <c r="I190" s="135">
        <f>+I37</f>
        <v>101.22532805211092</v>
      </c>
      <c r="J190" s="236">
        <f>+J37</f>
        <v>101.5551580431645</v>
      </c>
      <c r="K190" s="23">
        <f ca="1">+K209</f>
        <v>101.89686926219814</v>
      </c>
      <c r="L190" s="23">
        <f ca="1">+L209</f>
        <v>102.25037131335471</v>
      </c>
      <c r="M190" s="23">
        <f ca="1">+M209</f>
        <v>102.61458004154703</v>
      </c>
      <c r="N190" s="23">
        <f ca="1">+N209</f>
        <v>102.9884647971969</v>
      </c>
      <c r="O190" s="23">
        <f ca="1">+O209</f>
        <v>103.37104759455143</v>
      </c>
      <c r="Q190"/>
      <c r="R190"/>
      <c r="S190"/>
      <c r="T190"/>
      <c r="U190" s="23"/>
      <c r="V190" s="23"/>
      <c r="W190"/>
    </row>
    <row r="191" spans="1:23" ht="12.95" customHeight="1" x14ac:dyDescent="0.25">
      <c r="B191" s="93" t="s">
        <v>141</v>
      </c>
      <c r="C191" s="93"/>
      <c r="D191" s="93"/>
      <c r="E191" s="93"/>
      <c r="F191" s="93"/>
      <c r="G191" s="93"/>
      <c r="H191" s="136">
        <f>+H192-H190</f>
        <v>5</v>
      </c>
      <c r="I191" s="136">
        <f>+I192-I190</f>
        <v>5</v>
      </c>
      <c r="J191" s="237">
        <f>+J192-J190</f>
        <v>5</v>
      </c>
      <c r="K191" s="111">
        <f>+J191</f>
        <v>5</v>
      </c>
      <c r="L191" s="111">
        <f>+K191</f>
        <v>5</v>
      </c>
      <c r="M191" s="111">
        <f>+L191</f>
        <v>5</v>
      </c>
      <c r="N191" s="111">
        <f>+M191</f>
        <v>5</v>
      </c>
      <c r="O191" s="111">
        <f>+N191</f>
        <v>5</v>
      </c>
      <c r="Q191"/>
      <c r="R191"/>
      <c r="S191"/>
      <c r="T191"/>
      <c r="U191" s="23"/>
      <c r="V191" s="23"/>
      <c r="W191"/>
    </row>
    <row r="192" spans="1:23" ht="12.95" customHeight="1" x14ac:dyDescent="0.25">
      <c r="B192" s="183" t="s">
        <v>107</v>
      </c>
      <c r="C192" s="183"/>
      <c r="D192" s="183"/>
      <c r="E192" s="183"/>
      <c r="F192" s="183"/>
      <c r="G192" s="183"/>
      <c r="H192" s="238">
        <f>+H40</f>
        <v>105.91013022450269</v>
      </c>
      <c r="I192" s="238">
        <f>+I40</f>
        <v>106.22532805211092</v>
      </c>
      <c r="J192" s="239">
        <f>+J40</f>
        <v>106.5551580431645</v>
      </c>
      <c r="K192" s="187">
        <f ca="1">SUM(K190:K191)</f>
        <v>106.89686926219814</v>
      </c>
      <c r="L192" s="187">
        <f ca="1">SUM(L190:L191)</f>
        <v>107.25037131335471</v>
      </c>
      <c r="M192" s="187">
        <f ca="1">SUM(M190:M191)</f>
        <v>107.61458004154703</v>
      </c>
      <c r="N192" s="187">
        <f ca="1">SUM(N190:N191)</f>
        <v>107.9884647971969</v>
      </c>
      <c r="O192" s="187">
        <f ca="1">SUM(O190:O191)</f>
        <v>108.37104759455143</v>
      </c>
      <c r="Q192"/>
      <c r="R192"/>
      <c r="S192"/>
      <c r="T192"/>
      <c r="U192" s="23"/>
      <c r="V192" s="23"/>
      <c r="W192"/>
    </row>
    <row r="193" spans="2:23" ht="12.95" customHeight="1" x14ac:dyDescent="0.25">
      <c r="B193" s="92"/>
      <c r="C193" s="92"/>
      <c r="D193" s="92"/>
      <c r="E193" s="92"/>
      <c r="F193" s="92"/>
      <c r="G193" s="92"/>
      <c r="H193" s="240"/>
      <c r="I193" s="240"/>
      <c r="J193" s="241"/>
      <c r="K193" s="92"/>
      <c r="L193" s="92"/>
      <c r="M193" s="92"/>
      <c r="N193" s="92"/>
      <c r="O193" s="92"/>
      <c r="Q193"/>
      <c r="R193"/>
      <c r="S193"/>
      <c r="T193"/>
      <c r="U193" s="23"/>
      <c r="V193" s="23"/>
      <c r="W193"/>
    </row>
    <row r="194" spans="2:23" ht="12.95" customHeight="1" x14ac:dyDescent="0.25">
      <c r="B194" s="93" t="s">
        <v>143</v>
      </c>
      <c r="C194" s="93"/>
      <c r="D194" s="93"/>
      <c r="E194" s="93"/>
      <c r="F194" s="93"/>
      <c r="G194" s="93"/>
      <c r="H194" s="136"/>
      <c r="I194" s="136"/>
      <c r="J194" s="237"/>
      <c r="K194" s="111">
        <f ca="1">+K84+K85</f>
        <v>11.111880686976447</v>
      </c>
      <c r="L194" s="111">
        <f ca="1">+L84+L85</f>
        <v>11.945271738499681</v>
      </c>
      <c r="M194" s="111">
        <f ca="1">+M84+M85</f>
        <v>12.871030298233407</v>
      </c>
      <c r="N194" s="111">
        <f ca="1">+N84+N85</f>
        <v>13.900712722092081</v>
      </c>
      <c r="O194" s="111">
        <f ca="1">+O84+O85</f>
        <v>15.047521521664677</v>
      </c>
      <c r="Q194"/>
      <c r="R194"/>
      <c r="S194"/>
      <c r="T194"/>
      <c r="U194" s="23"/>
      <c r="V194" s="23"/>
      <c r="W194"/>
    </row>
    <row r="195" spans="2:23" ht="12.95" customHeight="1" x14ac:dyDescent="0.25">
      <c r="B195" s="93" t="s">
        <v>142</v>
      </c>
      <c r="C195" s="93"/>
      <c r="D195" s="93"/>
      <c r="E195" s="93"/>
      <c r="F195" s="93"/>
      <c r="G195" s="93"/>
      <c r="H195" s="136"/>
      <c r="I195" s="136"/>
      <c r="J195" s="237"/>
      <c r="K195" s="111">
        <f>-K87</f>
        <v>-5</v>
      </c>
      <c r="L195" s="111">
        <f>-L87</f>
        <v>-5</v>
      </c>
      <c r="M195" s="111">
        <f>-M87</f>
        <v>-5</v>
      </c>
      <c r="N195" s="111">
        <f>-N87</f>
        <v>-5</v>
      </c>
      <c r="O195" s="111">
        <f>-O87</f>
        <v>-5</v>
      </c>
      <c r="Q195"/>
      <c r="R195"/>
      <c r="S195"/>
      <c r="T195"/>
      <c r="U195" s="23"/>
      <c r="V195" s="23"/>
      <c r="W195"/>
    </row>
    <row r="196" spans="2:23" ht="12.95" customHeight="1" x14ac:dyDescent="0.25">
      <c r="B196" s="183" t="s">
        <v>144</v>
      </c>
      <c r="C196" s="183"/>
      <c r="D196" s="183"/>
      <c r="E196" s="183"/>
      <c r="F196" s="183"/>
      <c r="G196" s="183"/>
      <c r="H196" s="149"/>
      <c r="I196" s="149"/>
      <c r="J196" s="242"/>
      <c r="K196" s="184">
        <f ca="1">SUM(K194:K195)</f>
        <v>6.1118806869764466</v>
      </c>
      <c r="L196" s="184">
        <f ca="1">SUM(L194:L195)</f>
        <v>6.9452717384996809</v>
      </c>
      <c r="M196" s="184">
        <f ca="1">SUM(M194:M195)</f>
        <v>7.8710302982334071</v>
      </c>
      <c r="N196" s="184">
        <f ca="1">SUM(N194:N195)</f>
        <v>8.9007127220920808</v>
      </c>
      <c r="O196" s="184">
        <f ca="1">SUM(O194:O195)</f>
        <v>10.047521521664677</v>
      </c>
      <c r="Q196"/>
      <c r="R196"/>
      <c r="S196"/>
      <c r="T196"/>
      <c r="U196" s="23"/>
      <c r="V196" s="23"/>
      <c r="W196"/>
    </row>
    <row r="197" spans="2:23" ht="12.95" customHeight="1" x14ac:dyDescent="0.25">
      <c r="B197" s="92"/>
      <c r="C197" s="92"/>
      <c r="D197" s="92"/>
      <c r="E197" s="92"/>
      <c r="F197" s="92"/>
      <c r="G197" s="92"/>
      <c r="H197" s="240"/>
      <c r="I197" s="240"/>
      <c r="J197" s="241"/>
      <c r="K197" s="92"/>
      <c r="L197" s="92"/>
      <c r="M197" s="92"/>
      <c r="N197" s="92"/>
      <c r="O197" s="92"/>
      <c r="Q197"/>
      <c r="R197"/>
      <c r="S197"/>
      <c r="T197"/>
      <c r="U197" s="23"/>
      <c r="V197" s="23"/>
      <c r="W197"/>
    </row>
    <row r="198" spans="2:23" ht="12.95" customHeight="1" x14ac:dyDescent="0.25">
      <c r="B198" s="93" t="s">
        <v>145</v>
      </c>
      <c r="C198" s="93"/>
      <c r="D198" s="93"/>
      <c r="E198" s="93"/>
      <c r="F198" s="93"/>
      <c r="G198" s="93"/>
      <c r="H198" s="136"/>
      <c r="I198" s="136"/>
      <c r="J198" s="237"/>
      <c r="K198" s="111">
        <f t="shared" ref="K198:O199" ca="1" si="20">+K194/K$204</f>
        <v>0.62125792203275587</v>
      </c>
      <c r="L198" s="111">
        <f t="shared" ca="1" si="20"/>
        <v>0.60799321036996257</v>
      </c>
      <c r="M198" s="111">
        <f t="shared" ca="1" si="20"/>
        <v>0.59556899132970686</v>
      </c>
      <c r="N198" s="111">
        <f t="shared" ca="1" si="20"/>
        <v>0.58391555167920139</v>
      </c>
      <c r="O198" s="111">
        <f t="shared" ca="1" si="20"/>
        <v>0.57296944968943608</v>
      </c>
      <c r="Q198"/>
      <c r="R198"/>
      <c r="S198"/>
      <c r="T198"/>
      <c r="U198" s="23"/>
      <c r="V198" s="23"/>
      <c r="W198"/>
    </row>
    <row r="199" spans="2:23" ht="12.95" customHeight="1" x14ac:dyDescent="0.25">
      <c r="B199" s="93" t="s">
        <v>146</v>
      </c>
      <c r="C199" s="93"/>
      <c r="D199" s="93"/>
      <c r="E199" s="93"/>
      <c r="F199" s="93"/>
      <c r="G199" s="93"/>
      <c r="H199" s="136"/>
      <c r="I199" s="136"/>
      <c r="J199" s="237"/>
      <c r="K199" s="111">
        <f t="shared" si="20"/>
        <v>-0.27954670299911255</v>
      </c>
      <c r="L199" s="111">
        <f t="shared" si="20"/>
        <v>-0.25449115921339688</v>
      </c>
      <c r="M199" s="111">
        <f t="shared" si="20"/>
        <v>-0.23136026313738486</v>
      </c>
      <c r="N199" s="111">
        <f t="shared" si="20"/>
        <v>-0.210030796029328</v>
      </c>
      <c r="O199" s="111">
        <f t="shared" si="20"/>
        <v>-0.19038665233490545</v>
      </c>
      <c r="Q199"/>
      <c r="R199"/>
      <c r="S199"/>
      <c r="T199"/>
      <c r="U199" s="23"/>
      <c r="V199" s="23"/>
      <c r="W199"/>
    </row>
    <row r="200" spans="2:23" ht="12.95" customHeight="1" x14ac:dyDescent="0.25">
      <c r="B200" s="183" t="s">
        <v>144</v>
      </c>
      <c r="C200" s="183"/>
      <c r="D200" s="183"/>
      <c r="E200" s="183"/>
      <c r="F200" s="183"/>
      <c r="G200" s="183"/>
      <c r="H200" s="238"/>
      <c r="I200" s="238"/>
      <c r="J200" s="239"/>
      <c r="K200" s="187">
        <f ca="1">SUM(K198:K199)</f>
        <v>0.34171121903364332</v>
      </c>
      <c r="L200" s="187">
        <f ca="1">SUM(L198:L199)</f>
        <v>0.35350205115656569</v>
      </c>
      <c r="M200" s="187">
        <f ca="1">SUM(M198:M199)</f>
        <v>0.36420872819232197</v>
      </c>
      <c r="N200" s="187">
        <f ca="1">SUM(N198:N199)</f>
        <v>0.37388475564987339</v>
      </c>
      <c r="O200" s="187">
        <f ca="1">SUM(O198:O199)</f>
        <v>0.3825827973545306</v>
      </c>
      <c r="Q200"/>
      <c r="R200"/>
      <c r="S200"/>
      <c r="T200"/>
      <c r="U200" s="23"/>
      <c r="V200" s="23"/>
      <c r="W200"/>
    </row>
    <row r="201" spans="2:23" ht="12.95" customHeight="1" x14ac:dyDescent="0.25">
      <c r="B201" s="92"/>
      <c r="C201" s="92"/>
      <c r="D201" s="92"/>
      <c r="E201" s="92"/>
      <c r="F201" s="92"/>
      <c r="G201" s="92"/>
      <c r="H201" s="240"/>
      <c r="I201" s="240"/>
      <c r="J201" s="241"/>
      <c r="K201" s="92"/>
      <c r="L201" s="92"/>
      <c r="M201" s="92"/>
      <c r="N201" s="92"/>
      <c r="O201" s="92"/>
      <c r="Q201"/>
      <c r="R201"/>
      <c r="S201"/>
      <c r="T201"/>
      <c r="U201" s="23"/>
      <c r="V201" s="23"/>
      <c r="W201"/>
    </row>
    <row r="202" spans="2:23" ht="12.95" customHeight="1" x14ac:dyDescent="0.25">
      <c r="B202" s="93" t="s">
        <v>108</v>
      </c>
      <c r="C202" s="93"/>
      <c r="D202" s="93"/>
      <c r="E202" s="93"/>
      <c r="F202" s="93"/>
      <c r="G202" s="93"/>
      <c r="H202" s="243"/>
      <c r="I202" s="243"/>
      <c r="J202" s="244"/>
      <c r="K202" s="252">
        <v>1.7886098982236514</v>
      </c>
      <c r="L202" s="252">
        <v>1.9647047918892071</v>
      </c>
      <c r="M202" s="252">
        <v>2.1611317052448769</v>
      </c>
      <c r="N202" s="252">
        <v>2.3806032708183502</v>
      </c>
      <c r="O202" s="252">
        <v>2.6262345278305528</v>
      </c>
      <c r="Q202"/>
      <c r="R202"/>
      <c r="S202"/>
      <c r="T202"/>
      <c r="U202" s="23"/>
      <c r="V202" s="23"/>
      <c r="W202"/>
    </row>
    <row r="203" spans="2:23" ht="12.95" customHeight="1" x14ac:dyDescent="0.25">
      <c r="B203" s="93" t="s">
        <v>147</v>
      </c>
      <c r="C203" s="93"/>
      <c r="D203" s="93"/>
      <c r="E203" s="93"/>
      <c r="F203" s="93"/>
      <c r="G203" s="93"/>
      <c r="H203" s="245"/>
      <c r="I203" s="245"/>
      <c r="J203" s="246"/>
      <c r="K203" s="112">
        <v>10</v>
      </c>
      <c r="L203" s="185">
        <f>+K203</f>
        <v>10</v>
      </c>
      <c r="M203" s="185">
        <f>+L203</f>
        <v>10</v>
      </c>
      <c r="N203" s="185">
        <f>+M203</f>
        <v>10</v>
      </c>
      <c r="O203" s="185">
        <f>+N203</f>
        <v>10</v>
      </c>
      <c r="Q203"/>
      <c r="R203"/>
      <c r="S203"/>
      <c r="T203"/>
      <c r="U203" s="23"/>
      <c r="V203" s="23"/>
      <c r="W203"/>
    </row>
    <row r="204" spans="2:23" s="21" customFormat="1" ht="12.95" customHeight="1" x14ac:dyDescent="0.25">
      <c r="B204" s="183" t="s">
        <v>148</v>
      </c>
      <c r="C204" s="183"/>
      <c r="D204" s="183"/>
      <c r="E204" s="183"/>
      <c r="F204" s="183"/>
      <c r="G204" s="183"/>
      <c r="H204" s="247"/>
      <c r="I204" s="247"/>
      <c r="J204" s="248"/>
      <c r="K204" s="186">
        <f>+K202*K203</f>
        <v>17.886098982236515</v>
      </c>
      <c r="L204" s="186">
        <f>+L202*L203</f>
        <v>19.647047918892071</v>
      </c>
      <c r="M204" s="186">
        <f>+M202*M203</f>
        <v>21.611317052448769</v>
      </c>
      <c r="N204" s="186">
        <f>+N202*N203</f>
        <v>23.806032708183501</v>
      </c>
      <c r="O204" s="186">
        <f>+O202*O203</f>
        <v>26.262345278305528</v>
      </c>
      <c r="Q204"/>
      <c r="R204"/>
      <c r="S204"/>
      <c r="T204"/>
      <c r="U204" s="23"/>
      <c r="V204" s="23"/>
      <c r="W204"/>
    </row>
    <row r="205" spans="2:23" s="21" customFormat="1" ht="12.95" customHeight="1" x14ac:dyDescent="0.25">
      <c r="B205" s="92"/>
      <c r="C205" s="92"/>
      <c r="D205" s="92"/>
      <c r="E205" s="92"/>
      <c r="F205" s="92"/>
      <c r="G205" s="92"/>
      <c r="H205" s="249"/>
      <c r="I205" s="249"/>
      <c r="J205" s="250"/>
      <c r="K205" s="188"/>
      <c r="L205" s="188"/>
      <c r="M205" s="188"/>
      <c r="N205" s="188"/>
      <c r="O205" s="188"/>
      <c r="Q205"/>
      <c r="R205"/>
      <c r="S205"/>
      <c r="T205"/>
      <c r="U205" s="23"/>
      <c r="V205" s="23"/>
      <c r="W205"/>
    </row>
    <row r="206" spans="2:23" s="21" customFormat="1" ht="12.95" customHeight="1" x14ac:dyDescent="0.25">
      <c r="B206" s="254" t="s">
        <v>157</v>
      </c>
      <c r="C206" s="92"/>
      <c r="D206" s="92"/>
      <c r="E206" s="92"/>
      <c r="F206" s="92"/>
      <c r="G206" s="92"/>
      <c r="H206" s="249"/>
      <c r="I206" s="249"/>
      <c r="J206" s="250"/>
      <c r="K206" s="188"/>
      <c r="L206" s="188"/>
      <c r="M206" s="188"/>
      <c r="N206" s="188"/>
      <c r="O206" s="188"/>
      <c r="Q206"/>
      <c r="R206"/>
      <c r="S206"/>
      <c r="T206"/>
      <c r="U206" s="23"/>
      <c r="V206" s="23"/>
      <c r="W206"/>
    </row>
    <row r="207" spans="2:23" s="21" customFormat="1" ht="12.95" customHeight="1" x14ac:dyDescent="0.25">
      <c r="B207" s="93" t="s">
        <v>149</v>
      </c>
      <c r="C207" s="92"/>
      <c r="D207" s="92"/>
      <c r="E207" s="92"/>
      <c r="F207" s="92"/>
      <c r="G207" s="92"/>
      <c r="H207" s="226"/>
      <c r="I207" s="136"/>
      <c r="J207" s="237"/>
      <c r="K207" s="111">
        <f>+J190</f>
        <v>101.5551580431645</v>
      </c>
      <c r="L207" s="111">
        <f ca="1">+K209</f>
        <v>101.89686926219814</v>
      </c>
      <c r="M207" s="111">
        <f ca="1">+L209</f>
        <v>102.25037131335471</v>
      </c>
      <c r="N207" s="111">
        <f ca="1">+M209</f>
        <v>102.61458004154703</v>
      </c>
      <c r="O207" s="111">
        <f ca="1">+N209</f>
        <v>102.9884647971969</v>
      </c>
      <c r="Q207"/>
      <c r="R207"/>
      <c r="S207"/>
      <c r="T207"/>
      <c r="U207" s="23"/>
      <c r="V207" s="23"/>
      <c r="W207"/>
    </row>
    <row r="208" spans="2:23" ht="12.95" customHeight="1" x14ac:dyDescent="0.25">
      <c r="B208" s="20" t="str">
        <f>+B200</f>
        <v>Net Shares Issued / (Repurchased)</v>
      </c>
      <c r="C208" s="20"/>
      <c r="D208" s="20"/>
      <c r="E208" s="20"/>
      <c r="F208" s="20"/>
      <c r="G208" s="20"/>
      <c r="H208" s="140"/>
      <c r="I208" s="140"/>
      <c r="J208" s="122"/>
      <c r="K208" s="77">
        <f ca="1">+K200</f>
        <v>0.34171121903364332</v>
      </c>
      <c r="L208" s="77">
        <f ca="1">+L200</f>
        <v>0.35350205115656569</v>
      </c>
      <c r="M208" s="77">
        <f ca="1">+M200</f>
        <v>0.36420872819232197</v>
      </c>
      <c r="N208" s="77">
        <f ca="1">+N200</f>
        <v>0.37388475564987339</v>
      </c>
      <c r="O208" s="77">
        <f ca="1">+O200</f>
        <v>0.3825827973545306</v>
      </c>
      <c r="Q208"/>
      <c r="R208"/>
      <c r="S208"/>
      <c r="T208"/>
      <c r="U208" s="23"/>
      <c r="V208" s="23"/>
      <c r="W208"/>
    </row>
    <row r="209" spans="2:23" s="21" customFormat="1" ht="12.95" customHeight="1" x14ac:dyDescent="0.25">
      <c r="B209" s="92" t="s">
        <v>150</v>
      </c>
      <c r="C209" s="92"/>
      <c r="D209" s="92"/>
      <c r="E209" s="92"/>
      <c r="F209" s="92"/>
      <c r="G209" s="92"/>
      <c r="H209" s="142"/>
      <c r="I209" s="142"/>
      <c r="J209" s="141"/>
      <c r="K209" s="189">
        <f ca="1">SUM(K207:K208)</f>
        <v>101.89686926219814</v>
      </c>
      <c r="L209" s="189">
        <f ca="1">SUM(L207:L208)</f>
        <v>102.25037131335471</v>
      </c>
      <c r="M209" s="189">
        <f ca="1">SUM(M207:M208)</f>
        <v>102.61458004154703</v>
      </c>
      <c r="N209" s="189">
        <f ca="1">SUM(N207:N208)</f>
        <v>102.9884647971969</v>
      </c>
      <c r="O209" s="189">
        <f ca="1">SUM(O207:O208)</f>
        <v>103.37104759455143</v>
      </c>
      <c r="Q209"/>
      <c r="R209"/>
      <c r="S209"/>
      <c r="T209"/>
      <c r="U209" s="23"/>
      <c r="V209" s="23"/>
      <c r="W209"/>
    </row>
    <row r="210" spans="2:23" ht="12.95" customHeight="1" x14ac:dyDescent="0.25">
      <c r="Q210"/>
      <c r="R210"/>
      <c r="S210"/>
      <c r="T210"/>
    </row>
    <row r="211" spans="2:23" ht="12.95" customHeight="1" x14ac:dyDescent="0.25">
      <c r="B211" s="26" t="s">
        <v>311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30"/>
      <c r="Q211"/>
      <c r="R211"/>
      <c r="S211"/>
      <c r="T211"/>
    </row>
    <row r="212" spans="2:23" ht="12.95" customHeight="1" x14ac:dyDescent="0.2">
      <c r="H212" s="23"/>
      <c r="I212" s="23"/>
      <c r="J212" s="23"/>
      <c r="P212" s="93"/>
      <c r="Q212" s="93"/>
      <c r="R212" s="93"/>
    </row>
    <row r="213" spans="2:23" ht="12.95" customHeight="1" x14ac:dyDescent="0.2">
      <c r="B213" s="362" t="s">
        <v>360</v>
      </c>
      <c r="C213" s="363"/>
      <c r="D213" s="363"/>
      <c r="E213" s="363"/>
      <c r="F213" s="363"/>
      <c r="G213" s="363"/>
      <c r="H213" s="363"/>
      <c r="I213" s="363"/>
      <c r="J213" s="363"/>
      <c r="K213" s="363"/>
      <c r="L213" s="363"/>
      <c r="M213" s="363"/>
      <c r="N213" s="363"/>
      <c r="O213" s="363"/>
      <c r="P213" s="367"/>
      <c r="Q213" s="367"/>
      <c r="R213" s="93"/>
    </row>
    <row r="214" spans="2:23" ht="12.95" customHeight="1" x14ac:dyDescent="0.2">
      <c r="B214" s="81" t="s">
        <v>332</v>
      </c>
      <c r="C214" s="81"/>
      <c r="D214" s="81"/>
      <c r="E214" s="81"/>
      <c r="F214" s="81"/>
      <c r="G214" s="81"/>
      <c r="H214" s="81"/>
      <c r="I214" s="81"/>
      <c r="J214" s="81"/>
      <c r="K214" s="364">
        <v>8.2500000000000059E-2</v>
      </c>
      <c r="L214" s="364">
        <v>8.5000000000000062E-2</v>
      </c>
      <c r="M214" s="364">
        <v>8.7500000000000064E-2</v>
      </c>
      <c r="N214" s="364">
        <v>9.0000000000000066E-2</v>
      </c>
      <c r="O214" s="364">
        <v>9.2500000000000068E-2</v>
      </c>
      <c r="P214" s="93"/>
      <c r="Q214" s="93"/>
      <c r="R214" s="93"/>
    </row>
    <row r="215" spans="2:23" ht="12.95" customHeight="1" x14ac:dyDescent="0.2">
      <c r="B215" s="81" t="s">
        <v>104</v>
      </c>
      <c r="C215" s="81"/>
      <c r="D215" s="81"/>
      <c r="E215" s="81"/>
      <c r="F215" s="81"/>
      <c r="G215" s="81"/>
      <c r="H215" s="81"/>
      <c r="I215" s="81"/>
      <c r="J215" s="81"/>
      <c r="K215" s="364">
        <v>7.2500000000000064E-2</v>
      </c>
      <c r="L215" s="364">
        <v>7.5000000000000067E-2</v>
      </c>
      <c r="M215" s="364">
        <v>7.7500000000000069E-2</v>
      </c>
      <c r="N215" s="364">
        <v>8.0000000000000071E-2</v>
      </c>
      <c r="O215" s="364">
        <v>8.2500000000000073E-2</v>
      </c>
      <c r="P215" s="93"/>
      <c r="Q215" s="93"/>
      <c r="R215" s="93"/>
    </row>
    <row r="216" spans="2:23" ht="12.95" customHeight="1" x14ac:dyDescent="0.2">
      <c r="B216" s="363" t="s">
        <v>333</v>
      </c>
      <c r="C216" s="363"/>
      <c r="D216" s="363"/>
      <c r="E216" s="363"/>
      <c r="F216" s="363"/>
      <c r="G216" s="363"/>
      <c r="H216" s="363"/>
      <c r="I216" s="363"/>
      <c r="J216" s="363"/>
      <c r="K216" s="365">
        <v>6.2500000000000069E-2</v>
      </c>
      <c r="L216" s="365">
        <v>6.5000000000000072E-2</v>
      </c>
      <c r="M216" s="365">
        <v>6.7500000000000074E-2</v>
      </c>
      <c r="N216" s="365">
        <v>7.0000000000000076E-2</v>
      </c>
      <c r="O216" s="365">
        <v>7.2500000000000078E-2</v>
      </c>
      <c r="P216" s="93"/>
      <c r="Q216" s="93"/>
      <c r="R216" s="93"/>
    </row>
    <row r="217" spans="2:23" ht="12.95" customHeight="1" x14ac:dyDescent="0.2">
      <c r="B217" s="362" t="str">
        <f ca="1">+OFFSET(B213,$D$10,0)</f>
        <v>Mid (Base) Case</v>
      </c>
      <c r="C217" s="363"/>
      <c r="D217" s="363"/>
      <c r="E217" s="363"/>
      <c r="F217" s="363"/>
      <c r="G217" s="363"/>
      <c r="H217" s="363"/>
      <c r="I217" s="363"/>
      <c r="J217" s="363"/>
      <c r="K217" s="368">
        <f ca="1">+OFFSET(K213,$D$10,0)</f>
        <v>7.2500000000000064E-2</v>
      </c>
      <c r="L217" s="368">
        <f ca="1">+OFFSET(L213,$D$10,0)</f>
        <v>7.5000000000000067E-2</v>
      </c>
      <c r="M217" s="368">
        <f ca="1">+OFFSET(M213,$D$10,0)</f>
        <v>7.7500000000000069E-2</v>
      </c>
      <c r="N217" s="368">
        <f ca="1">+OFFSET(N213,$D$10,0)</f>
        <v>8.0000000000000071E-2</v>
      </c>
      <c r="O217" s="368">
        <f ca="1">+OFFSET(O213,$D$10,0)</f>
        <v>8.2500000000000073E-2</v>
      </c>
      <c r="P217" s="93"/>
      <c r="Q217" s="93"/>
      <c r="R217" s="93"/>
    </row>
    <row r="218" spans="2:23" ht="12.95" customHeight="1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2:23" ht="12.95" customHeight="1" x14ac:dyDescent="0.2">
      <c r="B219" s="362" t="s">
        <v>45</v>
      </c>
      <c r="C219" s="363"/>
      <c r="D219" s="363"/>
      <c r="E219" s="363"/>
      <c r="F219" s="363"/>
      <c r="G219" s="363"/>
      <c r="H219" s="363"/>
      <c r="I219" s="363"/>
      <c r="J219" s="363"/>
      <c r="K219" s="363"/>
      <c r="L219" s="363"/>
      <c r="M219" s="363"/>
      <c r="N219" s="363"/>
      <c r="O219" s="363"/>
    </row>
    <row r="220" spans="2:23" ht="12.95" customHeight="1" x14ac:dyDescent="0.2">
      <c r="B220" s="81" t="s">
        <v>332</v>
      </c>
      <c r="C220" s="81"/>
      <c r="D220" s="81"/>
      <c r="E220" s="81"/>
      <c r="F220" s="81"/>
      <c r="G220" s="81"/>
      <c r="H220" s="81"/>
      <c r="I220" s="81"/>
      <c r="J220" s="81"/>
      <c r="K220" s="364">
        <v>0.45150000000000001</v>
      </c>
      <c r="L220" s="364">
        <v>0.45350000000000001</v>
      </c>
      <c r="M220" s="364">
        <v>0.45550000000000002</v>
      </c>
      <c r="N220" s="364">
        <v>0.45750000000000002</v>
      </c>
      <c r="O220" s="364">
        <v>0.45950000000000002</v>
      </c>
    </row>
    <row r="221" spans="2:23" ht="12.95" customHeight="1" x14ac:dyDescent="0.2">
      <c r="B221" s="81" t="s">
        <v>104</v>
      </c>
      <c r="C221" s="81"/>
      <c r="D221" s="81"/>
      <c r="E221" s="81"/>
      <c r="F221" s="81"/>
      <c r="G221" s="81"/>
      <c r="H221" s="81"/>
      <c r="I221" s="81"/>
      <c r="J221" s="81"/>
      <c r="K221" s="364">
        <v>0.44400000000000001</v>
      </c>
      <c r="L221" s="364">
        <v>0.44600000000000001</v>
      </c>
      <c r="M221" s="364">
        <v>0.44800000000000001</v>
      </c>
      <c r="N221" s="364">
        <v>0.45</v>
      </c>
      <c r="O221" s="364">
        <v>0.45200000000000001</v>
      </c>
    </row>
    <row r="222" spans="2:23" ht="12.95" customHeight="1" x14ac:dyDescent="0.2">
      <c r="B222" s="363" t="s">
        <v>333</v>
      </c>
      <c r="C222" s="363"/>
      <c r="D222" s="363"/>
      <c r="E222" s="363"/>
      <c r="F222" s="363"/>
      <c r="G222" s="363"/>
      <c r="H222" s="363"/>
      <c r="I222" s="363"/>
      <c r="J222" s="363"/>
      <c r="K222" s="365">
        <v>0.4365</v>
      </c>
      <c r="L222" s="365">
        <v>0.4385</v>
      </c>
      <c r="M222" s="365">
        <v>0.4405</v>
      </c>
      <c r="N222" s="365">
        <v>0.4425</v>
      </c>
      <c r="O222" s="365">
        <v>0.44450000000000001</v>
      </c>
    </row>
    <row r="223" spans="2:23" ht="12.95" customHeight="1" x14ac:dyDescent="0.2">
      <c r="B223" s="362" t="str">
        <f ca="1">+OFFSET(B219,$D$10,0)</f>
        <v>Mid (Base) Case</v>
      </c>
      <c r="C223" s="363"/>
      <c r="D223" s="363"/>
      <c r="E223" s="363"/>
      <c r="F223" s="363"/>
      <c r="G223" s="363"/>
      <c r="H223" s="363"/>
      <c r="I223" s="363"/>
      <c r="J223" s="363"/>
      <c r="K223" s="368">
        <f ca="1">+OFFSET(K219,$D$10,0)</f>
        <v>0.44400000000000001</v>
      </c>
      <c r="L223" s="368">
        <f ca="1">+OFFSET(L219,$D$10,0)</f>
        <v>0.44600000000000001</v>
      </c>
      <c r="M223" s="368">
        <f ca="1">+OFFSET(M219,$D$10,0)</f>
        <v>0.44800000000000001</v>
      </c>
      <c r="N223" s="368">
        <f ca="1">+OFFSET(N219,$D$10,0)</f>
        <v>0.45</v>
      </c>
      <c r="O223" s="368">
        <f ca="1">+OFFSET(O219,$D$10,0)</f>
        <v>0.45200000000000001</v>
      </c>
    </row>
    <row r="224" spans="2:23" ht="12.95" customHeight="1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2:15" ht="12.95" customHeight="1" x14ac:dyDescent="0.2">
      <c r="B225" s="362" t="s">
        <v>361</v>
      </c>
      <c r="C225" s="363"/>
      <c r="D225" s="363"/>
      <c r="E225" s="363"/>
      <c r="F225" s="363"/>
      <c r="G225" s="363"/>
      <c r="H225" s="363"/>
      <c r="I225" s="363"/>
      <c r="J225" s="363"/>
      <c r="K225" s="363"/>
      <c r="L225" s="363"/>
      <c r="M225" s="363"/>
      <c r="N225" s="363"/>
      <c r="O225" s="363"/>
    </row>
    <row r="226" spans="2:15" ht="12.95" customHeight="1" x14ac:dyDescent="0.2">
      <c r="B226" s="81" t="s">
        <v>332</v>
      </c>
      <c r="C226" s="81"/>
      <c r="D226" s="81"/>
      <c r="E226" s="81"/>
      <c r="F226" s="81"/>
      <c r="G226" s="81"/>
      <c r="H226" s="81"/>
      <c r="I226" s="81"/>
      <c r="J226" s="81"/>
      <c r="K226" s="364">
        <v>0.26800000000000002</v>
      </c>
      <c r="L226" s="364">
        <v>0.26650000000000001</v>
      </c>
      <c r="M226" s="364">
        <v>0.26500000000000001</v>
      </c>
      <c r="N226" s="364">
        <v>0.26350000000000001</v>
      </c>
      <c r="O226" s="364">
        <v>0.26200000000000001</v>
      </c>
    </row>
    <row r="227" spans="2:15" ht="12.95" customHeight="1" x14ac:dyDescent="0.2">
      <c r="B227" s="81" t="s">
        <v>104</v>
      </c>
      <c r="C227" s="81"/>
      <c r="D227" s="81"/>
      <c r="E227" s="81"/>
      <c r="F227" s="81"/>
      <c r="G227" s="81"/>
      <c r="H227" s="81"/>
      <c r="I227" s="81"/>
      <c r="J227" s="81"/>
      <c r="K227" s="364">
        <v>0.27300000000000002</v>
      </c>
      <c r="L227" s="364">
        <v>0.27150000000000002</v>
      </c>
      <c r="M227" s="364">
        <v>0.27</v>
      </c>
      <c r="N227" s="364">
        <v>0.26850000000000002</v>
      </c>
      <c r="O227" s="364">
        <v>0.26700000000000002</v>
      </c>
    </row>
    <row r="228" spans="2:15" ht="12.95" customHeight="1" x14ac:dyDescent="0.2">
      <c r="B228" s="363" t="s">
        <v>333</v>
      </c>
      <c r="C228" s="363"/>
      <c r="D228" s="363"/>
      <c r="E228" s="363"/>
      <c r="F228" s="363"/>
      <c r="G228" s="363"/>
      <c r="H228" s="363"/>
      <c r="I228" s="363"/>
      <c r="J228" s="363"/>
      <c r="K228" s="365">
        <v>0.27800000000000002</v>
      </c>
      <c r="L228" s="365">
        <v>0.27650000000000002</v>
      </c>
      <c r="M228" s="365">
        <v>0.27500000000000002</v>
      </c>
      <c r="N228" s="365">
        <v>0.27350000000000002</v>
      </c>
      <c r="O228" s="365">
        <v>0.27200000000000002</v>
      </c>
    </row>
    <row r="229" spans="2:15" ht="12.95" customHeight="1" x14ac:dyDescent="0.2">
      <c r="B229" s="362" t="str">
        <f ca="1">+OFFSET(B225,$D$10,0)</f>
        <v>Mid (Base) Case</v>
      </c>
      <c r="C229" s="363"/>
      <c r="D229" s="363"/>
      <c r="E229" s="363"/>
      <c r="F229" s="363"/>
      <c r="G229" s="363"/>
      <c r="H229" s="363"/>
      <c r="I229" s="363"/>
      <c r="J229" s="363"/>
      <c r="K229" s="368">
        <f ca="1">+OFFSET(K225,$D$10,0)</f>
        <v>0.27300000000000002</v>
      </c>
      <c r="L229" s="368">
        <f ca="1">+OFFSET(L225,$D$10,0)</f>
        <v>0.27150000000000002</v>
      </c>
      <c r="M229" s="368">
        <f ca="1">+OFFSET(M225,$D$10,0)</f>
        <v>0.27</v>
      </c>
      <c r="N229" s="368">
        <f ca="1">+OFFSET(N225,$D$10,0)</f>
        <v>0.26850000000000002</v>
      </c>
      <c r="O229" s="368">
        <f ca="1">+OFFSET(O225,$D$10,0)</f>
        <v>0.26700000000000002</v>
      </c>
    </row>
  </sheetData>
  <conditionalFormatting sqref="A201:A210 A184:A197 A89:A182 A1:A82 A220:A1048576">
    <cfRule type="expression" dxfId="21" priority="5">
      <formula>$D$17&gt;0</formula>
    </cfRule>
  </conditionalFormatting>
  <conditionalFormatting sqref="A183">
    <cfRule type="expression" dxfId="20" priority="4">
      <formula>$D$17&gt;0</formula>
    </cfRule>
  </conditionalFormatting>
  <conditionalFormatting sqref="A198:A200">
    <cfRule type="expression" dxfId="19" priority="3">
      <formula>$D$17&gt;0</formula>
    </cfRule>
  </conditionalFormatting>
  <conditionalFormatting sqref="A83:A87">
    <cfRule type="expression" dxfId="18" priority="2">
      <formula>$D$17&gt;0</formula>
    </cfRule>
  </conditionalFormatting>
  <conditionalFormatting sqref="A88">
    <cfRule type="expression" dxfId="17" priority="1">
      <formula>$D$17&gt;0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5" manualBreakCount="5">
    <brk id="59" min="1" max="14" man="1"/>
    <brk id="94" min="1" max="14" man="1"/>
    <brk id="120" min="1" max="14" man="1"/>
    <brk id="146" min="1" max="14" man="1"/>
    <brk id="209" min="1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5BD41-3984-4F67-82DB-B42636F1DEA4}">
  <dimension ref="A2:X229"/>
  <sheetViews>
    <sheetView showGridLines="0" topLeftCell="A180" zoomScale="115" zoomScaleNormal="115" zoomScaleSheetLayoutView="85" workbookViewId="0">
      <selection activeCell="K202" sqref="K202:O202"/>
    </sheetView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332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333</v>
      </c>
      <c r="C13" s="89"/>
      <c r="D13" s="90">
        <v>3</v>
      </c>
    </row>
    <row r="16" spans="1:17" ht="12.95" customHeight="1" x14ac:dyDescent="0.2">
      <c r="B16" s="1" t="s">
        <v>8</v>
      </c>
      <c r="D16" s="259">
        <f ca="1">+IF(SUM(K161:O161)=0,0,1)</f>
        <v>0</v>
      </c>
    </row>
    <row r="17" spans="1:15" ht="12.95" customHeight="1" x14ac:dyDescent="0.2">
      <c r="B17" s="13" t="s">
        <v>9</v>
      </c>
      <c r="C17" s="14"/>
      <c r="D17" s="262">
        <f ca="1">SUM(D16:D16)</f>
        <v>0</v>
      </c>
    </row>
    <row r="19" spans="1:15" ht="13.5" thickBot="1" x14ac:dyDescent="0.25">
      <c r="A19" s="1" t="s">
        <v>0</v>
      </c>
      <c r="B19" s="2" t="str">
        <f>+E4</f>
        <v>Gooey Cookies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95" customHeight="1" x14ac:dyDescent="0.2">
      <c r="B20" s="25" t="s">
        <v>11</v>
      </c>
    </row>
    <row r="22" spans="1:15" ht="12.95" customHeight="1" x14ac:dyDescent="0.2">
      <c r="A22" s="1" t="s">
        <v>0</v>
      </c>
      <c r="B22" s="26" t="s">
        <v>31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0"/>
    </row>
    <row r="24" spans="1:15" ht="12.95" customHeight="1" x14ac:dyDescent="0.35">
      <c r="H24" s="9" t="s">
        <v>132</v>
      </c>
      <c r="I24" s="10"/>
      <c r="J24" s="10"/>
      <c r="K24" s="10"/>
      <c r="L24" s="10"/>
      <c r="M24" s="10"/>
      <c r="N24" s="10"/>
      <c r="O24" s="10"/>
    </row>
    <row r="25" spans="1:15" ht="12.95" customHeight="1" x14ac:dyDescent="0.2">
      <c r="H25" s="47">
        <f>+I25-1</f>
        <v>2018</v>
      </c>
      <c r="I25" s="47">
        <f>+J25-1</f>
        <v>2019</v>
      </c>
      <c r="J25" s="48">
        <f>+K25-1</f>
        <v>2020</v>
      </c>
      <c r="K25" s="191">
        <f>+E7</f>
        <v>2021</v>
      </c>
      <c r="L25" s="39">
        <f>+K25+1</f>
        <v>2022</v>
      </c>
      <c r="M25" s="39">
        <f>+L25+1</f>
        <v>2023</v>
      </c>
      <c r="N25" s="39">
        <f>+M25+1</f>
        <v>2024</v>
      </c>
      <c r="O25" s="39">
        <f>+N25+1</f>
        <v>2025</v>
      </c>
    </row>
    <row r="26" spans="1:15" ht="12.95" customHeight="1" x14ac:dyDescent="0.2">
      <c r="B26" s="1" t="s">
        <v>14</v>
      </c>
      <c r="H26" s="49">
        <v>1209.9228781500001</v>
      </c>
      <c r="I26" s="49">
        <v>1288.5678652297499</v>
      </c>
      <c r="J26" s="50">
        <v>1378.7676157958326</v>
      </c>
      <c r="K26" s="195">
        <f ca="1">+J26*(1+K51)</f>
        <v>1478.7282679410305</v>
      </c>
      <c r="L26" s="195">
        <f ca="1">+K26*(1+L51)</f>
        <v>1589.6328880366079</v>
      </c>
      <c r="M26" s="195">
        <f ca="1">+L26*(1+M51)</f>
        <v>1712.8294368594452</v>
      </c>
      <c r="N26" s="195">
        <f ca="1">+M26*(1+N51)</f>
        <v>1849.8557918082008</v>
      </c>
      <c r="O26" s="195">
        <f ca="1">+N26*(1+O51)</f>
        <v>2002.4688946323774</v>
      </c>
    </row>
    <row r="27" spans="1:15" ht="12.95" customHeight="1" x14ac:dyDescent="0.2">
      <c r="B27" s="20" t="s">
        <v>32</v>
      </c>
      <c r="C27" s="20"/>
      <c r="D27" s="20"/>
      <c r="E27" s="20"/>
      <c r="F27" s="20"/>
      <c r="G27" s="20"/>
      <c r="H27" s="51">
        <v>-679.97665752030014</v>
      </c>
      <c r="I27" s="51">
        <v>-721.59800452866</v>
      </c>
      <c r="J27" s="52">
        <v>-769.35232961407462</v>
      </c>
      <c r="K27" s="153">
        <f ca="1">-(K26*(1-K52))</f>
        <v>-822.17291697521307</v>
      </c>
      <c r="L27" s="153">
        <f ca="1">-(L26*(1-L52))</f>
        <v>-880.65661997228085</v>
      </c>
      <c r="M27" s="153">
        <f ca="1">-(M26*(1-M52))</f>
        <v>-945.48184914641388</v>
      </c>
      <c r="N27" s="153">
        <f ca="1">-(N26*(1-N52))</f>
        <v>-1017.4206854945105</v>
      </c>
      <c r="O27" s="153">
        <f ca="1">-(O26*(1-O52))</f>
        <v>-1097.3529542585429</v>
      </c>
    </row>
    <row r="28" spans="1:15" ht="12.95" customHeight="1" x14ac:dyDescent="0.2">
      <c r="B28" s="1" t="s">
        <v>33</v>
      </c>
      <c r="H28" s="53">
        <f t="shared" ref="H28:O28" si="0">SUM(H26:H27)</f>
        <v>529.94622062969995</v>
      </c>
      <c r="I28" s="53">
        <f t="shared" si="0"/>
        <v>566.96986070108994</v>
      </c>
      <c r="J28" s="54">
        <f t="shared" si="0"/>
        <v>609.41528618175801</v>
      </c>
      <c r="K28" s="134">
        <f t="shared" ca="1" si="0"/>
        <v>656.55535096581741</v>
      </c>
      <c r="L28" s="135">
        <f t="shared" ca="1" si="0"/>
        <v>708.97626806432709</v>
      </c>
      <c r="M28" s="135">
        <f t="shared" ca="1" si="0"/>
        <v>767.34758771303132</v>
      </c>
      <c r="N28" s="135">
        <f t="shared" ca="1" si="0"/>
        <v>832.43510631369031</v>
      </c>
      <c r="O28" s="135">
        <f t="shared" ca="1" si="0"/>
        <v>905.11594037383452</v>
      </c>
    </row>
    <row r="29" spans="1:15" ht="12.95" customHeight="1" x14ac:dyDescent="0.2">
      <c r="B29" s="20" t="s">
        <v>34</v>
      </c>
      <c r="C29" s="20"/>
      <c r="D29" s="20"/>
      <c r="E29" s="20"/>
      <c r="F29" s="20"/>
      <c r="G29" s="20"/>
      <c r="H29" s="51">
        <v>-335.75359868662508</v>
      </c>
      <c r="I29" s="51">
        <v>-355.64473080341099</v>
      </c>
      <c r="J29" s="52">
        <v>-378.47171053595611</v>
      </c>
      <c r="K29" s="134">
        <f ca="1">-K26*K53</f>
        <v>-403.69281714790134</v>
      </c>
      <c r="L29" s="135">
        <f ca="1">-L26*L53</f>
        <v>-431.58532910193907</v>
      </c>
      <c r="M29" s="135">
        <f ca="1">-M26*M53</f>
        <v>-462.46394795205021</v>
      </c>
      <c r="N29" s="135">
        <f ca="1">-N26*N53</f>
        <v>-496.68628010050196</v>
      </c>
      <c r="O29" s="135">
        <f ca="1">-O26*O53</f>
        <v>-534.65919486684481</v>
      </c>
    </row>
    <row r="30" spans="1:15" ht="12.95" customHeight="1" x14ac:dyDescent="0.2">
      <c r="B30" s="21" t="s">
        <v>35</v>
      </c>
      <c r="C30" s="21"/>
      <c r="D30" s="21"/>
      <c r="E30" s="21"/>
      <c r="F30" s="21"/>
      <c r="G30" s="21"/>
      <c r="H30" s="55">
        <f t="shared" ref="H30:O30" si="1">+SUM(H28:H29)</f>
        <v>194.19262194307487</v>
      </c>
      <c r="I30" s="55">
        <f t="shared" si="1"/>
        <v>211.32512989767895</v>
      </c>
      <c r="J30" s="56">
        <f t="shared" si="1"/>
        <v>230.9435756458019</v>
      </c>
      <c r="K30" s="196">
        <f t="shared" ca="1" si="1"/>
        <v>252.86253381791607</v>
      </c>
      <c r="L30" s="196">
        <f t="shared" ca="1" si="1"/>
        <v>277.39093896238802</v>
      </c>
      <c r="M30" s="196">
        <f t="shared" ca="1" si="1"/>
        <v>304.88363976098111</v>
      </c>
      <c r="N30" s="196">
        <f t="shared" ca="1" si="1"/>
        <v>335.74882621318835</v>
      </c>
      <c r="O30" s="196">
        <f t="shared" ca="1" si="1"/>
        <v>370.45674550698971</v>
      </c>
    </row>
    <row r="31" spans="1:15" ht="12.95" customHeight="1" x14ac:dyDescent="0.2">
      <c r="B31" s="1" t="s">
        <v>36</v>
      </c>
      <c r="H31" s="51">
        <v>3.4200303417144116</v>
      </c>
      <c r="I31" s="51">
        <v>4.8107943213989754</v>
      </c>
      <c r="J31" s="52">
        <v>6.3350607435463786</v>
      </c>
      <c r="K31" s="134">
        <f ca="1">+K181</f>
        <v>8.011331185495667</v>
      </c>
      <c r="L31" s="135">
        <f ca="1">+L181</f>
        <v>9.8589722065138758</v>
      </c>
      <c r="M31" s="135">
        <f ca="1">+M181</f>
        <v>11.898482355207621</v>
      </c>
      <c r="N31" s="135">
        <f ca="1">+N181</f>
        <v>14.152891702647517</v>
      </c>
      <c r="O31" s="135">
        <f ca="1">+O181</f>
        <v>16.648382296002382</v>
      </c>
    </row>
    <row r="32" spans="1:15" ht="12.95" customHeight="1" x14ac:dyDescent="0.2">
      <c r="B32" s="20" t="s">
        <v>97</v>
      </c>
      <c r="C32" s="20"/>
      <c r="D32" s="20"/>
      <c r="E32" s="20"/>
      <c r="F32" s="20"/>
      <c r="G32" s="20"/>
      <c r="H32" s="51">
        <v>-2.5</v>
      </c>
      <c r="I32" s="51">
        <v>-2.5</v>
      </c>
      <c r="J32" s="52">
        <v>-2.5</v>
      </c>
      <c r="K32" s="217">
        <f ca="1">-(K158+K169)</f>
        <v>-2.5</v>
      </c>
      <c r="L32" s="217">
        <f ca="1">-(L158+L169)</f>
        <v>-2.5</v>
      </c>
      <c r="M32" s="217">
        <f ca="1">-(M158+M169)</f>
        <v>-2.5</v>
      </c>
      <c r="N32" s="217">
        <f ca="1">-(N158+N169)</f>
        <v>-2.5</v>
      </c>
      <c r="O32" s="217">
        <f ca="1">-(O158+O169)</f>
        <v>-2.5</v>
      </c>
    </row>
    <row r="33" spans="2:15" ht="12.95" customHeight="1" x14ac:dyDescent="0.2">
      <c r="B33" s="1" t="s">
        <v>37</v>
      </c>
      <c r="H33" s="53">
        <f t="shared" ref="H33:O33" si="2">+SUM(H30:H32)</f>
        <v>195.11265228478928</v>
      </c>
      <c r="I33" s="53">
        <f t="shared" si="2"/>
        <v>213.63592421907794</v>
      </c>
      <c r="J33" s="54">
        <f t="shared" si="2"/>
        <v>234.77863638934826</v>
      </c>
      <c r="K33" s="134">
        <f t="shared" ca="1" si="2"/>
        <v>258.37386500341177</v>
      </c>
      <c r="L33" s="134">
        <f t="shared" ca="1" si="2"/>
        <v>284.74991116890192</v>
      </c>
      <c r="M33" s="134">
        <f t="shared" ca="1" si="2"/>
        <v>314.28212211618876</v>
      </c>
      <c r="N33" s="134">
        <f t="shared" ca="1" si="2"/>
        <v>347.40171791583589</v>
      </c>
      <c r="O33" s="134">
        <f t="shared" ca="1" si="2"/>
        <v>384.60512780299211</v>
      </c>
    </row>
    <row r="34" spans="2:15" ht="12.95" customHeight="1" x14ac:dyDescent="0.2">
      <c r="B34" s="1" t="s">
        <v>38</v>
      </c>
      <c r="H34" s="51">
        <v>-50.729289594045213</v>
      </c>
      <c r="I34" s="51">
        <v>-55.545340296960262</v>
      </c>
      <c r="J34" s="52">
        <v>-61.04244546123055</v>
      </c>
      <c r="K34" s="134">
        <f ca="1">-K33*K58</f>
        <v>-67.177204900887062</v>
      </c>
      <c r="L34" s="135">
        <f ca="1">-L33*L58</f>
        <v>-74.034976903914497</v>
      </c>
      <c r="M34" s="135">
        <f ca="1">-M33*M58</f>
        <v>-81.713351750209085</v>
      </c>
      <c r="N34" s="135">
        <f ca="1">-N33*N58</f>
        <v>-90.324446658117338</v>
      </c>
      <c r="O34" s="135">
        <f ca="1">-O33*O58</f>
        <v>-99.997333228777947</v>
      </c>
    </row>
    <row r="35" spans="2:15" s="93" customFormat="1" ht="12.95" customHeight="1" x14ac:dyDescent="0.2">
      <c r="B35" s="16" t="s">
        <v>39</v>
      </c>
      <c r="C35" s="16"/>
      <c r="D35" s="16"/>
      <c r="E35" s="16"/>
      <c r="F35" s="16"/>
      <c r="G35" s="16"/>
      <c r="H35" s="55">
        <f t="shared" ref="H35:O35" si="3">+SUM(H33:H34)</f>
        <v>144.38336269074406</v>
      </c>
      <c r="I35" s="55">
        <f t="shared" si="3"/>
        <v>158.09058392211767</v>
      </c>
      <c r="J35" s="56">
        <f t="shared" si="3"/>
        <v>173.73619092811771</v>
      </c>
      <c r="K35" s="145">
        <f t="shared" ca="1" si="3"/>
        <v>191.1966601025247</v>
      </c>
      <c r="L35" s="145">
        <f t="shared" ca="1" si="3"/>
        <v>210.71493426498742</v>
      </c>
      <c r="M35" s="145">
        <f t="shared" ca="1" si="3"/>
        <v>232.56877036597967</v>
      </c>
      <c r="N35" s="145">
        <f t="shared" ca="1" si="3"/>
        <v>257.07727125771856</v>
      </c>
      <c r="O35" s="145">
        <f t="shared" ca="1" si="3"/>
        <v>284.60779457421415</v>
      </c>
    </row>
    <row r="36" spans="2:15" ht="12.95" customHeight="1" x14ac:dyDescent="0.2">
      <c r="H36" s="57"/>
      <c r="I36" s="57"/>
      <c r="J36" s="58"/>
      <c r="K36" s="198"/>
      <c r="L36" s="199"/>
      <c r="M36" s="199"/>
      <c r="N36" s="199"/>
      <c r="O36" s="199"/>
    </row>
    <row r="37" spans="2:15" ht="12.95" customHeight="1" x14ac:dyDescent="0.2">
      <c r="B37" s="95" t="s">
        <v>109</v>
      </c>
      <c r="H37" s="215">
        <v>100.91013022450269</v>
      </c>
      <c r="I37" s="215">
        <v>101.22532805211092</v>
      </c>
      <c r="J37" s="216">
        <v>101.5551580431645</v>
      </c>
      <c r="K37" s="193">
        <f ca="1">+K190</f>
        <v>101.89686926219814</v>
      </c>
      <c r="L37" s="193">
        <f ca="1">+L190</f>
        <v>102.25037131335471</v>
      </c>
      <c r="M37" s="193">
        <f ca="1">+M190</f>
        <v>102.61458004154703</v>
      </c>
      <c r="N37" s="193">
        <f ca="1">+N190</f>
        <v>102.9884647971969</v>
      </c>
      <c r="O37" s="193">
        <f ca="1">+O190</f>
        <v>103.37104759455143</v>
      </c>
    </row>
    <row r="38" spans="2:15" s="92" customFormat="1" ht="12.95" customHeight="1" x14ac:dyDescent="0.2">
      <c r="B38" s="169" t="s">
        <v>106</v>
      </c>
      <c r="C38" s="16"/>
      <c r="D38" s="16"/>
      <c r="E38" s="16"/>
      <c r="F38" s="16"/>
      <c r="G38" s="16"/>
      <c r="H38" s="126">
        <f t="shared" ref="H38:O38" si="4">+H35/H37</f>
        <v>1.4308113800816931</v>
      </c>
      <c r="I38" s="126">
        <f t="shared" si="4"/>
        <v>1.5617690450035633</v>
      </c>
      <c r="J38" s="127">
        <f t="shared" si="4"/>
        <v>1.7107569352043521</v>
      </c>
      <c r="K38" s="200">
        <f t="shared" ca="1" si="4"/>
        <v>1.8763742349192583</v>
      </c>
      <c r="L38" s="200">
        <f t="shared" ca="1" si="4"/>
        <v>2.0607742696526166</v>
      </c>
      <c r="M38" s="200">
        <f t="shared" ca="1" si="4"/>
        <v>2.2664300752565203</v>
      </c>
      <c r="N38" s="200">
        <f t="shared" ca="1" si="4"/>
        <v>2.4961753897773957</v>
      </c>
      <c r="O38" s="200">
        <f t="shared" ca="1" si="4"/>
        <v>2.7532641024450206</v>
      </c>
    </row>
    <row r="39" spans="2:15" ht="12.95" customHeight="1" x14ac:dyDescent="0.2">
      <c r="B39" s="96"/>
      <c r="H39" s="91"/>
      <c r="I39" s="91"/>
      <c r="J39" s="59"/>
      <c r="K39" s="198"/>
      <c r="L39" s="199"/>
      <c r="M39" s="199"/>
      <c r="N39" s="199"/>
      <c r="O39" s="199"/>
    </row>
    <row r="40" spans="2:15" ht="12.95" customHeight="1" x14ac:dyDescent="0.2">
      <c r="B40" s="95" t="s">
        <v>107</v>
      </c>
      <c r="H40" s="215">
        <v>105.91013022450269</v>
      </c>
      <c r="I40" s="215">
        <v>106.22532805211092</v>
      </c>
      <c r="J40" s="216">
        <v>106.5551580431645</v>
      </c>
      <c r="K40" s="193">
        <f ca="1">+K192</f>
        <v>106.89686926219814</v>
      </c>
      <c r="L40" s="193">
        <f ca="1">+L192</f>
        <v>107.25037131335471</v>
      </c>
      <c r="M40" s="193">
        <f ca="1">+M192</f>
        <v>107.61458004154703</v>
      </c>
      <c r="N40" s="193">
        <f ca="1">+N192</f>
        <v>107.9884647971969</v>
      </c>
      <c r="O40" s="193">
        <f ca="1">+O192</f>
        <v>108.37104759455143</v>
      </c>
    </row>
    <row r="41" spans="2:15" s="92" customFormat="1" ht="12.95" customHeight="1" x14ac:dyDescent="0.2">
      <c r="B41" s="169" t="s">
        <v>108</v>
      </c>
      <c r="C41" s="16"/>
      <c r="D41" s="16"/>
      <c r="E41" s="16"/>
      <c r="F41" s="16"/>
      <c r="G41" s="16"/>
      <c r="H41" s="126">
        <f t="shared" ref="H41:O41" si="5">+H35/H40</f>
        <v>1.3632630078415335</v>
      </c>
      <c r="I41" s="126">
        <f t="shared" si="5"/>
        <v>1.4882569611323133</v>
      </c>
      <c r="J41" s="127">
        <f t="shared" si="5"/>
        <v>1.6304812842353329</v>
      </c>
      <c r="K41" s="200">
        <f t="shared" ca="1" si="5"/>
        <v>1.7886086039952662</v>
      </c>
      <c r="L41" s="200">
        <f t="shared" ca="1" si="5"/>
        <v>1.9647012097453636</v>
      </c>
      <c r="M41" s="200">
        <f t="shared" ca="1" si="5"/>
        <v>2.1611269613856345</v>
      </c>
      <c r="N41" s="200">
        <f t="shared" ca="1" si="5"/>
        <v>2.3805993699467023</v>
      </c>
      <c r="O41" s="200">
        <f t="shared" ca="1" si="5"/>
        <v>2.6262345976299613</v>
      </c>
    </row>
    <row r="42" spans="2:15" ht="12.95" customHeight="1" x14ac:dyDescent="0.2">
      <c r="H42" s="91"/>
      <c r="I42" s="91"/>
      <c r="J42" s="59"/>
      <c r="K42" s="198"/>
      <c r="L42" s="199"/>
      <c r="M42" s="199"/>
      <c r="N42" s="199"/>
      <c r="O42" s="199"/>
    </row>
    <row r="43" spans="2:15" ht="12.95" customHeight="1" x14ac:dyDescent="0.2">
      <c r="B43" s="28" t="s">
        <v>40</v>
      </c>
      <c r="C43" s="20"/>
      <c r="D43" s="20"/>
      <c r="E43" s="20"/>
      <c r="F43" s="20"/>
      <c r="G43" s="20"/>
      <c r="H43" s="29"/>
      <c r="I43" s="29"/>
      <c r="J43" s="59"/>
      <c r="K43" s="201"/>
      <c r="L43" s="202"/>
      <c r="M43" s="202"/>
      <c r="N43" s="202"/>
      <c r="O43" s="202"/>
    </row>
    <row r="44" spans="2:15" ht="12.95" customHeight="1" x14ac:dyDescent="0.2">
      <c r="B44" s="1" t="s">
        <v>41</v>
      </c>
      <c r="H44" s="53">
        <f t="shared" ref="H44:O44" si="6">+H30</f>
        <v>194.19262194307487</v>
      </c>
      <c r="I44" s="53">
        <f t="shared" si="6"/>
        <v>211.32512989767895</v>
      </c>
      <c r="J44" s="54">
        <f t="shared" si="6"/>
        <v>230.9435756458019</v>
      </c>
      <c r="K44" s="197">
        <f t="shared" ca="1" si="6"/>
        <v>252.86253381791607</v>
      </c>
      <c r="L44" s="197">
        <f t="shared" ca="1" si="6"/>
        <v>277.39093896238802</v>
      </c>
      <c r="M44" s="197">
        <f t="shared" ca="1" si="6"/>
        <v>304.88363976098111</v>
      </c>
      <c r="N44" s="197">
        <f t="shared" ca="1" si="6"/>
        <v>335.74882621318835</v>
      </c>
      <c r="O44" s="197">
        <f t="shared" ca="1" si="6"/>
        <v>370.45674550698971</v>
      </c>
    </row>
    <row r="45" spans="2:15" ht="12.95" customHeight="1" x14ac:dyDescent="0.2">
      <c r="B45" s="20" t="s">
        <v>42</v>
      </c>
      <c r="C45" s="20"/>
      <c r="D45" s="20"/>
      <c r="E45" s="20"/>
      <c r="F45" s="20"/>
      <c r="G45" s="20"/>
      <c r="H45" s="132">
        <v>13.30915165965</v>
      </c>
      <c r="I45" s="132">
        <v>15.462814382756999</v>
      </c>
      <c r="J45" s="133">
        <v>17.923979005345824</v>
      </c>
      <c r="K45" s="134">
        <f ca="1">+K82</f>
        <v>19.962831617203911</v>
      </c>
      <c r="L45" s="134">
        <f ca="1">+L82</f>
        <v>22.254860432512512</v>
      </c>
      <c r="M45" s="134">
        <f ca="1">+M82</f>
        <v>24.836026834461958</v>
      </c>
      <c r="N45" s="134">
        <f ca="1">+N82</f>
        <v>27.747836877123014</v>
      </c>
      <c r="O45" s="134">
        <f ca="1">+O82</f>
        <v>31.038267866801853</v>
      </c>
    </row>
    <row r="46" spans="2:15" ht="12.95" customHeight="1" x14ac:dyDescent="0.2">
      <c r="B46" s="1" t="s">
        <v>19</v>
      </c>
      <c r="H46" s="53">
        <f t="shared" ref="H46:O46" si="7">SUM(H44:H45)</f>
        <v>207.50177360272488</v>
      </c>
      <c r="I46" s="53">
        <f t="shared" si="7"/>
        <v>226.78794428043594</v>
      </c>
      <c r="J46" s="54">
        <f t="shared" si="7"/>
        <v>248.86755465114771</v>
      </c>
      <c r="K46" s="197">
        <f t="shared" ca="1" si="7"/>
        <v>272.82536543511998</v>
      </c>
      <c r="L46" s="197">
        <f t="shared" ca="1" si="7"/>
        <v>299.64579939490051</v>
      </c>
      <c r="M46" s="197">
        <f t="shared" ca="1" si="7"/>
        <v>329.71966659544307</v>
      </c>
      <c r="N46" s="197">
        <f t="shared" ca="1" si="7"/>
        <v>363.49666309031136</v>
      </c>
      <c r="O46" s="197">
        <f t="shared" ca="1" si="7"/>
        <v>401.49501337379155</v>
      </c>
    </row>
    <row r="47" spans="2:15" ht="12.95" customHeight="1" x14ac:dyDescent="0.2">
      <c r="B47" s="1" t="s">
        <v>161</v>
      </c>
      <c r="H47" s="51">
        <v>3.3</v>
      </c>
      <c r="I47" s="51">
        <v>4.5999999999999996</v>
      </c>
      <c r="J47" s="52">
        <v>2.5</v>
      </c>
      <c r="K47" s="226">
        <v>0</v>
      </c>
      <c r="L47" s="132">
        <v>0</v>
      </c>
      <c r="M47" s="132">
        <v>0</v>
      </c>
      <c r="N47" s="132">
        <v>0</v>
      </c>
      <c r="O47" s="132">
        <v>0</v>
      </c>
    </row>
    <row r="48" spans="2:15" s="92" customFormat="1" ht="12.95" customHeight="1" x14ac:dyDescent="0.2">
      <c r="B48" s="16" t="s">
        <v>43</v>
      </c>
      <c r="C48" s="16"/>
      <c r="D48" s="16"/>
      <c r="E48" s="16"/>
      <c r="F48" s="16"/>
      <c r="G48" s="16"/>
      <c r="H48" s="69">
        <f t="shared" ref="H48:O48" si="8">+SUM(H46:H47)</f>
        <v>210.80177360272489</v>
      </c>
      <c r="I48" s="69">
        <f t="shared" si="8"/>
        <v>231.38794428043593</v>
      </c>
      <c r="J48" s="70">
        <f t="shared" si="8"/>
        <v>251.36755465114771</v>
      </c>
      <c r="K48" s="145">
        <f t="shared" ca="1" si="8"/>
        <v>272.82536543511998</v>
      </c>
      <c r="L48" s="145">
        <f t="shared" ca="1" si="8"/>
        <v>299.64579939490051</v>
      </c>
      <c r="M48" s="145">
        <f t="shared" ca="1" si="8"/>
        <v>329.71966659544307</v>
      </c>
      <c r="N48" s="145">
        <f t="shared" ca="1" si="8"/>
        <v>363.49666309031136</v>
      </c>
      <c r="O48" s="145">
        <f t="shared" ca="1" si="8"/>
        <v>401.49501337379155</v>
      </c>
    </row>
    <row r="49" spans="1:15" ht="12.95" customHeight="1" x14ac:dyDescent="0.2">
      <c r="J49" s="35"/>
      <c r="K49" s="93"/>
    </row>
    <row r="50" spans="1:15" ht="12.95" customHeight="1" x14ac:dyDescent="0.2">
      <c r="B50" s="28" t="s">
        <v>44</v>
      </c>
      <c r="C50" s="20"/>
      <c r="D50" s="20"/>
      <c r="E50" s="20"/>
      <c r="F50" s="20"/>
      <c r="G50" s="20"/>
      <c r="H50" s="20"/>
      <c r="I50" s="20"/>
      <c r="J50" s="60"/>
      <c r="K50" s="20"/>
      <c r="L50" s="20"/>
      <c r="M50" s="20"/>
      <c r="N50" s="20"/>
      <c r="O50" s="20"/>
    </row>
    <row r="51" spans="1:15" ht="12.95" customHeight="1" x14ac:dyDescent="0.2">
      <c r="B51" s="1" t="s">
        <v>151</v>
      </c>
      <c r="H51" s="22"/>
      <c r="I51" s="61">
        <f>+I26/H26-1</f>
        <v>6.4999999999999947E-2</v>
      </c>
      <c r="J51" s="62">
        <f>+J26/I26-1</f>
        <v>7.0000000000000062E-2</v>
      </c>
      <c r="K51" s="371">
        <f ca="1">+K217</f>
        <v>7.2500000000000064E-2</v>
      </c>
      <c r="L51" s="61">
        <f ca="1">+L217</f>
        <v>7.5000000000000067E-2</v>
      </c>
      <c r="M51" s="61">
        <f ca="1">+M217</f>
        <v>7.7500000000000069E-2</v>
      </c>
      <c r="N51" s="61">
        <f ca="1">+N217</f>
        <v>8.0000000000000071E-2</v>
      </c>
      <c r="O51" s="61">
        <f ca="1">+O217</f>
        <v>8.2500000000000073E-2</v>
      </c>
    </row>
    <row r="52" spans="1:15" ht="12.95" customHeight="1" x14ac:dyDescent="0.2">
      <c r="B52" s="1" t="s">
        <v>45</v>
      </c>
      <c r="H52" s="61">
        <f>+H28/H26</f>
        <v>0.43799999999999994</v>
      </c>
      <c r="I52" s="61">
        <f>+I28/I26</f>
        <v>0.44</v>
      </c>
      <c r="J52" s="62">
        <f>+J28/J26</f>
        <v>0.442</v>
      </c>
      <c r="K52" s="371">
        <f ca="1">+K223</f>
        <v>0.44400000000000001</v>
      </c>
      <c r="L52" s="61">
        <f ca="1">+L223</f>
        <v>0.44600000000000001</v>
      </c>
      <c r="M52" s="61">
        <f ca="1">+M223</f>
        <v>0.44800000000000001</v>
      </c>
      <c r="N52" s="61">
        <f ca="1">+N223</f>
        <v>0.45</v>
      </c>
      <c r="O52" s="61">
        <f ca="1">+O223</f>
        <v>0.45200000000000001</v>
      </c>
    </row>
    <row r="53" spans="1:15" ht="12.95" customHeight="1" x14ac:dyDescent="0.2">
      <c r="B53" s="1" t="s">
        <v>46</v>
      </c>
      <c r="H53" s="61">
        <f>-H29/H26</f>
        <v>0.27750000000000002</v>
      </c>
      <c r="I53" s="61">
        <f>-I29/I26</f>
        <v>0.27600000000000002</v>
      </c>
      <c r="J53" s="62">
        <f>-J29/J26</f>
        <v>0.27450000000000002</v>
      </c>
      <c r="K53" s="371">
        <f ca="1">+K229</f>
        <v>0.27300000000000002</v>
      </c>
      <c r="L53" s="61">
        <f ca="1">+L229</f>
        <v>0.27150000000000002</v>
      </c>
      <c r="M53" s="61">
        <f ca="1">+M229</f>
        <v>0.27</v>
      </c>
      <c r="N53" s="61">
        <f ca="1">+N229</f>
        <v>0.26850000000000002</v>
      </c>
      <c r="O53" s="61">
        <f ca="1">+O229</f>
        <v>0.26700000000000002</v>
      </c>
    </row>
    <row r="54" spans="1:15" ht="12.95" customHeight="1" x14ac:dyDescent="0.2">
      <c r="B54" s="1" t="s">
        <v>47</v>
      </c>
      <c r="H54" s="63">
        <f t="shared" ref="H54:O54" si="9">+H48/H26</f>
        <v>0.17422744656671477</v>
      </c>
      <c r="I54" s="63">
        <f t="shared" si="9"/>
        <v>0.17956985466122871</v>
      </c>
      <c r="J54" s="64">
        <f t="shared" si="9"/>
        <v>0.18231321346059967</v>
      </c>
      <c r="K54" s="190">
        <f t="shared" ca="1" si="9"/>
        <v>0.18449999999999991</v>
      </c>
      <c r="L54" s="63">
        <f t="shared" ca="1" si="9"/>
        <v>0.18849999999999995</v>
      </c>
      <c r="M54" s="63">
        <f t="shared" ca="1" si="9"/>
        <v>0.19249999999999992</v>
      </c>
      <c r="N54" s="63">
        <f t="shared" ca="1" si="9"/>
        <v>0.19649999999999995</v>
      </c>
      <c r="O54" s="63">
        <f t="shared" ca="1" si="9"/>
        <v>0.20049999999999993</v>
      </c>
    </row>
    <row r="55" spans="1:15" ht="12.95" customHeight="1" x14ac:dyDescent="0.2">
      <c r="B55" s="1" t="s">
        <v>152</v>
      </c>
      <c r="I55" s="63">
        <f t="shared" ref="I55:O55" si="10">+I48/H48-1</f>
        <v>9.7656534505765391E-2</v>
      </c>
      <c r="J55" s="64">
        <f t="shared" si="10"/>
        <v>8.6346807880781418E-2</v>
      </c>
      <c r="K55" s="190">
        <f t="shared" ca="1" si="10"/>
        <v>8.536428185312861E-2</v>
      </c>
      <c r="L55" s="63">
        <f t="shared" ca="1" si="10"/>
        <v>9.8306233062330994E-2</v>
      </c>
      <c r="M55" s="63">
        <f t="shared" ca="1" si="10"/>
        <v>0.10036472148541109</v>
      </c>
      <c r="N55" s="63">
        <f t="shared" ca="1" si="10"/>
        <v>0.10244155844155856</v>
      </c>
      <c r="O55" s="63">
        <f t="shared" ca="1" si="10"/>
        <v>0.10453562340966926</v>
      </c>
    </row>
    <row r="56" spans="1:15" ht="12.95" customHeight="1" x14ac:dyDescent="0.2">
      <c r="B56" s="1" t="s">
        <v>136</v>
      </c>
      <c r="I56" s="63">
        <f t="shared" ref="I56:O56" si="11">+I35/H35-1</f>
        <v>9.493629304598783E-2</v>
      </c>
      <c r="J56" s="64">
        <f t="shared" si="11"/>
        <v>9.896609031254977E-2</v>
      </c>
      <c r="K56" s="190">
        <f t="shared" ca="1" si="11"/>
        <v>0.10049989631481648</v>
      </c>
      <c r="L56" s="63">
        <f t="shared" ca="1" si="11"/>
        <v>0.10208480708813905</v>
      </c>
      <c r="M56" s="63">
        <f t="shared" ca="1" si="11"/>
        <v>0.10371280126500038</v>
      </c>
      <c r="N56" s="63">
        <f t="shared" ca="1" si="11"/>
        <v>0.10538173656407657</v>
      </c>
      <c r="O56" s="63">
        <f t="shared" ca="1" si="11"/>
        <v>0.10709046031882141</v>
      </c>
    </row>
    <row r="57" spans="1:15" ht="12.95" customHeight="1" x14ac:dyDescent="0.2">
      <c r="B57" s="1" t="s">
        <v>137</v>
      </c>
      <c r="I57" s="63">
        <f t="shared" ref="I57:O57" si="12">+I41/H41-1</f>
        <v>9.168733587855793E-2</v>
      </c>
      <c r="J57" s="64">
        <f t="shared" si="12"/>
        <v>9.5564359393159437E-2</v>
      </c>
      <c r="K57" s="190">
        <f t="shared" ca="1" si="12"/>
        <v>9.6981990096312032E-2</v>
      </c>
      <c r="L57" s="63">
        <f t="shared" ca="1" si="12"/>
        <v>9.845228595946276E-2</v>
      </c>
      <c r="M57" s="63">
        <f t="shared" ca="1" si="12"/>
        <v>9.9977416752203618E-2</v>
      </c>
      <c r="N57" s="63">
        <f t="shared" ca="1" si="12"/>
        <v>0.10155461131277099</v>
      </c>
      <c r="O57" s="63">
        <f t="shared" ca="1" si="12"/>
        <v>0.10318209388115496</v>
      </c>
    </row>
    <row r="58" spans="1:15" ht="12.95" customHeight="1" x14ac:dyDescent="0.2">
      <c r="B58" s="1" t="s">
        <v>48</v>
      </c>
      <c r="H58" s="61">
        <f>-H34/H33</f>
        <v>0.26</v>
      </c>
      <c r="I58" s="61">
        <f>-I34/I33</f>
        <v>0.26</v>
      </c>
      <c r="J58" s="62">
        <f>-J34/J33</f>
        <v>0.26</v>
      </c>
      <c r="K58" s="113">
        <v>0.26</v>
      </c>
      <c r="L58" s="22">
        <v>0.26</v>
      </c>
      <c r="M58" s="22">
        <v>0.26</v>
      </c>
      <c r="N58" s="22">
        <v>0.26</v>
      </c>
      <c r="O58" s="22">
        <v>0.26</v>
      </c>
    </row>
    <row r="59" spans="1:15" ht="12.95" customHeight="1" x14ac:dyDescent="0.2">
      <c r="B59" s="20" t="s">
        <v>49</v>
      </c>
      <c r="C59" s="20"/>
      <c r="D59" s="20"/>
      <c r="E59" s="20"/>
      <c r="F59" s="20"/>
      <c r="G59" s="20"/>
      <c r="H59" s="65">
        <f t="shared" ref="H59:O59" si="13">+H45/H26</f>
        <v>1.0999999999999999E-2</v>
      </c>
      <c r="I59" s="65">
        <f t="shared" si="13"/>
        <v>1.2E-2</v>
      </c>
      <c r="J59" s="167">
        <f t="shared" si="13"/>
        <v>1.2999999999999999E-2</v>
      </c>
      <c r="K59" s="76">
        <f t="shared" ca="1" si="13"/>
        <v>1.35E-2</v>
      </c>
      <c r="L59" s="76">
        <f t="shared" ca="1" si="13"/>
        <v>1.4E-2</v>
      </c>
      <c r="M59" s="76">
        <f t="shared" ca="1" si="13"/>
        <v>1.4500000000000001E-2</v>
      </c>
      <c r="N59" s="76">
        <f t="shared" ca="1" si="13"/>
        <v>1.5000000000000001E-2</v>
      </c>
      <c r="O59" s="76">
        <f t="shared" ca="1" si="13"/>
        <v>1.5500000000000002E-2</v>
      </c>
    </row>
    <row r="60" spans="1:15" ht="12.95" customHeight="1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2.95" customHeight="1" x14ac:dyDescent="0.2">
      <c r="A61" s="1" t="s">
        <v>0</v>
      </c>
      <c r="B61" s="26" t="s">
        <v>382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30"/>
    </row>
    <row r="62" spans="1:15" ht="12.95" customHeight="1" x14ac:dyDescent="0.2">
      <c r="H62" s="67"/>
      <c r="I62" s="67"/>
    </row>
    <row r="63" spans="1:15" ht="15" x14ac:dyDescent="0.35">
      <c r="H63" s="109" t="str">
        <f>+H24</f>
        <v>Fiscal Year Ended 12/31</v>
      </c>
      <c r="I63" s="110"/>
      <c r="J63" s="110"/>
      <c r="K63" s="109"/>
      <c r="L63" s="110"/>
      <c r="M63" s="110"/>
      <c r="N63" s="110"/>
      <c r="O63" s="110"/>
    </row>
    <row r="64" spans="1:15" ht="12.95" customHeight="1" x14ac:dyDescent="0.2">
      <c r="H64" s="32">
        <f>+$H$25</f>
        <v>2018</v>
      </c>
      <c r="I64" s="32">
        <f>+$I$25</f>
        <v>2019</v>
      </c>
      <c r="J64" s="33">
        <f>+$J$25</f>
        <v>2020</v>
      </c>
      <c r="K64" s="11">
        <f>+$K$25</f>
        <v>2021</v>
      </c>
      <c r="L64" s="11">
        <f>+$L$25</f>
        <v>2022</v>
      </c>
      <c r="M64" s="11">
        <f>+$M$25</f>
        <v>2023</v>
      </c>
      <c r="N64" s="11">
        <f>+$N$25</f>
        <v>2024</v>
      </c>
      <c r="O64" s="11">
        <f>+$O$25</f>
        <v>2025</v>
      </c>
    </row>
    <row r="65" spans="2:24" ht="12.95" customHeight="1" x14ac:dyDescent="0.2">
      <c r="B65" s="429" t="s">
        <v>383</v>
      </c>
      <c r="H65" s="428"/>
      <c r="I65" s="428"/>
      <c r="J65" s="48"/>
      <c r="K65" s="191"/>
      <c r="L65" s="191"/>
      <c r="M65" s="191"/>
      <c r="N65" s="191"/>
      <c r="O65" s="191"/>
    </row>
    <row r="66" spans="2:24" ht="12.95" customHeight="1" x14ac:dyDescent="0.2">
      <c r="B66" s="1" t="s">
        <v>51</v>
      </c>
      <c r="G66" s="143"/>
      <c r="H66" s="132">
        <v>99.445716012328774</v>
      </c>
      <c r="I66" s="132">
        <v>105.90968755313013</v>
      </c>
      <c r="J66" s="133">
        <v>113.32336568184925</v>
      </c>
      <c r="K66" s="134"/>
      <c r="L66" s="135"/>
      <c r="M66" s="135"/>
      <c r="N66" s="135"/>
      <c r="O66" s="135"/>
      <c r="Q66" s="46"/>
      <c r="R66" s="46"/>
      <c r="S66" s="46"/>
      <c r="T66" s="46"/>
      <c r="U66" s="46"/>
      <c r="V66" s="46"/>
      <c r="W66" s="46"/>
      <c r="X66" s="46"/>
    </row>
    <row r="67" spans="2:24" ht="12.95" customHeight="1" x14ac:dyDescent="0.2">
      <c r="B67" s="1" t="s">
        <v>52</v>
      </c>
      <c r="G67" s="143"/>
      <c r="H67" s="132">
        <v>135.99533150406003</v>
      </c>
      <c r="I67" s="132">
        <v>144.31960090573199</v>
      </c>
      <c r="J67" s="133">
        <v>153.87046592281493</v>
      </c>
      <c r="K67" s="136"/>
      <c r="L67" s="137"/>
      <c r="M67" s="137"/>
      <c r="N67" s="137"/>
      <c r="O67" s="137"/>
      <c r="Q67" s="46"/>
      <c r="R67" s="46"/>
      <c r="S67" s="46"/>
      <c r="T67" s="46"/>
      <c r="U67" s="46"/>
      <c r="V67" s="46"/>
      <c r="W67" s="46"/>
      <c r="X67" s="46"/>
    </row>
    <row r="68" spans="2:24" s="144" customFormat="1" ht="12.95" customHeight="1" x14ac:dyDescent="0.2">
      <c r="B68" s="144" t="s">
        <v>53</v>
      </c>
      <c r="H68" s="226">
        <v>31.457994831899995</v>
      </c>
      <c r="I68" s="226">
        <v>33.502764495973494</v>
      </c>
      <c r="J68" s="133">
        <v>35.847958010691642</v>
      </c>
      <c r="K68" s="136"/>
      <c r="L68" s="136"/>
      <c r="M68" s="136"/>
      <c r="N68" s="136"/>
      <c r="O68" s="136"/>
      <c r="Q68" s="152"/>
      <c r="R68" s="152"/>
      <c r="S68" s="152"/>
      <c r="T68" s="152"/>
      <c r="U68" s="152"/>
      <c r="V68" s="152"/>
      <c r="W68" s="152"/>
      <c r="X68" s="152"/>
    </row>
    <row r="69" spans="2:24" s="93" customFormat="1" ht="12.95" customHeight="1" x14ac:dyDescent="0.2">
      <c r="B69" s="93" t="s">
        <v>57</v>
      </c>
      <c r="G69" s="144"/>
      <c r="H69" s="226">
        <v>48.396915126000003</v>
      </c>
      <c r="I69" s="226">
        <v>51.54271460919</v>
      </c>
      <c r="J69" s="133">
        <v>55.150704631833307</v>
      </c>
      <c r="K69" s="136"/>
      <c r="L69" s="136"/>
      <c r="M69" s="136"/>
      <c r="N69" s="136"/>
      <c r="O69" s="136"/>
      <c r="Q69" s="119"/>
      <c r="R69" s="119"/>
      <c r="S69" s="119"/>
      <c r="T69" s="119"/>
      <c r="U69" s="119"/>
      <c r="V69" s="119"/>
      <c r="W69" s="119"/>
      <c r="X69" s="119"/>
    </row>
    <row r="70" spans="2:24" ht="12.95" customHeight="1" x14ac:dyDescent="0.2">
      <c r="G70" s="143"/>
      <c r="H70" s="143"/>
      <c r="I70" s="143"/>
      <c r="J70" s="124"/>
      <c r="K70" s="144"/>
      <c r="L70" s="143"/>
      <c r="M70" s="143"/>
      <c r="N70" s="143"/>
      <c r="O70" s="143"/>
      <c r="Q70" s="46"/>
      <c r="R70" s="46"/>
      <c r="S70" s="46"/>
      <c r="T70" s="46"/>
      <c r="U70" s="46"/>
      <c r="V70" s="46"/>
      <c r="W70" s="46"/>
      <c r="X70" s="46"/>
    </row>
    <row r="71" spans="2:24" ht="12.95" customHeight="1" x14ac:dyDescent="0.2">
      <c r="B71" s="1" t="s">
        <v>59</v>
      </c>
      <c r="G71" s="143"/>
      <c r="H71" s="132">
        <v>55.888492398928776</v>
      </c>
      <c r="I71" s="132">
        <v>59.309425029752873</v>
      </c>
      <c r="J71" s="133">
        <v>63.23443805047188</v>
      </c>
      <c r="K71" s="136"/>
      <c r="L71" s="137"/>
      <c r="M71" s="137"/>
      <c r="N71" s="137"/>
      <c r="O71" s="137"/>
      <c r="Q71" s="46"/>
      <c r="R71" s="46"/>
      <c r="S71" s="46"/>
      <c r="T71" s="46"/>
      <c r="U71" s="46"/>
      <c r="V71" s="46"/>
      <c r="W71" s="46"/>
      <c r="X71" s="46"/>
    </row>
    <row r="72" spans="2:24" ht="12.95" customHeight="1" x14ac:dyDescent="0.2">
      <c r="B72" s="1" t="s">
        <v>60</v>
      </c>
      <c r="G72" s="143"/>
      <c r="H72" s="132">
        <v>58.91235486000167</v>
      </c>
      <c r="I72" s="132">
        <v>62.480078649260122</v>
      </c>
      <c r="J72" s="133">
        <v>66.573794328701794</v>
      </c>
      <c r="K72" s="136"/>
      <c r="L72" s="137"/>
      <c r="M72" s="137"/>
      <c r="N72" s="137"/>
      <c r="O72" s="137"/>
      <c r="Q72" s="46"/>
      <c r="R72" s="46"/>
      <c r="S72" s="46"/>
      <c r="T72" s="46"/>
      <c r="U72" s="46"/>
      <c r="V72" s="46"/>
      <c r="W72" s="46"/>
      <c r="X72" s="46"/>
    </row>
    <row r="73" spans="2:24" ht="12.95" customHeight="1" x14ac:dyDescent="0.2">
      <c r="B73" s="93" t="s">
        <v>61</v>
      </c>
      <c r="C73" s="93"/>
      <c r="D73" s="93"/>
      <c r="E73" s="93"/>
      <c r="F73" s="93"/>
      <c r="G73" s="144"/>
      <c r="H73" s="226">
        <v>60.496143907500006</v>
      </c>
      <c r="I73" s="226">
        <v>64.4283932614875</v>
      </c>
      <c r="J73" s="133">
        <v>68.938380789791637</v>
      </c>
      <c r="K73" s="136"/>
      <c r="L73" s="136"/>
      <c r="M73" s="136"/>
      <c r="N73" s="136"/>
      <c r="O73" s="136"/>
      <c r="Q73" s="46"/>
      <c r="R73" s="46"/>
      <c r="S73" s="46"/>
      <c r="T73" s="46"/>
      <c r="U73" s="46"/>
      <c r="V73" s="46"/>
      <c r="W73" s="46"/>
      <c r="X73" s="46"/>
    </row>
    <row r="74" spans="2:24" ht="12.95" customHeight="1" x14ac:dyDescent="0.2">
      <c r="B74" s="93" t="s">
        <v>63</v>
      </c>
      <c r="C74" s="93"/>
      <c r="D74" s="93"/>
      <c r="E74" s="93"/>
      <c r="F74" s="93"/>
      <c r="G74" s="144"/>
      <c r="H74" s="226">
        <v>12.099228781500001</v>
      </c>
      <c r="I74" s="226">
        <v>12.8856786522975</v>
      </c>
      <c r="J74" s="133">
        <v>13.787676157958327</v>
      </c>
      <c r="K74" s="136"/>
      <c r="L74" s="136"/>
      <c r="M74" s="136"/>
      <c r="N74" s="136"/>
      <c r="O74" s="136"/>
      <c r="Q74" s="46"/>
      <c r="R74" s="46"/>
      <c r="S74" s="46"/>
      <c r="T74" s="46"/>
      <c r="U74" s="46"/>
      <c r="V74" s="46"/>
      <c r="W74" s="46"/>
      <c r="X74" s="46"/>
    </row>
    <row r="75" spans="2:24" ht="12.95" customHeight="1" x14ac:dyDescent="0.2">
      <c r="G75" s="143"/>
      <c r="H75" s="150"/>
      <c r="I75" s="150"/>
      <c r="J75" s="151"/>
      <c r="K75" s="144"/>
      <c r="L75" s="143"/>
      <c r="M75" s="143"/>
      <c r="N75" s="143"/>
      <c r="O75" s="143"/>
      <c r="Q75" s="46"/>
      <c r="R75" s="46"/>
      <c r="S75" s="46"/>
      <c r="T75" s="46"/>
      <c r="U75" s="46"/>
      <c r="V75" s="46"/>
      <c r="W75" s="46"/>
      <c r="X75" s="46"/>
    </row>
    <row r="76" spans="2:24" ht="12.95" customHeight="1" x14ac:dyDescent="0.2">
      <c r="B76" s="430" t="s">
        <v>378</v>
      </c>
      <c r="C76" s="431"/>
      <c r="D76" s="431"/>
      <c r="E76" s="431"/>
      <c r="F76" s="431"/>
      <c r="G76" s="431"/>
      <c r="H76" s="432">
        <f>+SUM(H66:H69)-SUM(H71:H74)</f>
        <v>127.89973752635836</v>
      </c>
      <c r="I76" s="432">
        <f>+SUM(I66:I69)-SUM(I71:I74)</f>
        <v>136.17119197122764</v>
      </c>
      <c r="J76" s="433">
        <f>+SUM(J66:J69)-SUM(J71:J74)</f>
        <v>145.65820492026552</v>
      </c>
      <c r="K76" s="434">
        <f ca="1">+K77*K92</f>
        <v>156.21842477698476</v>
      </c>
      <c r="L76" s="434">
        <f ca="1">+L77*L92</f>
        <v>167.93480663525864</v>
      </c>
      <c r="M76" s="434">
        <f ca="1">+M77*M92</f>
        <v>180.94975414949118</v>
      </c>
      <c r="N76" s="434">
        <f ca="1">+N77*N92</f>
        <v>195.42573448145049</v>
      </c>
      <c r="O76" s="435">
        <f ca="1">+O77*O92</f>
        <v>211.54835757617016</v>
      </c>
      <c r="Q76" s="46"/>
      <c r="R76" s="46"/>
      <c r="S76" s="46"/>
      <c r="T76" s="46"/>
      <c r="U76" s="46"/>
      <c r="V76" s="46"/>
      <c r="W76" s="46"/>
      <c r="X76" s="46"/>
    </row>
    <row r="77" spans="2:24" s="25" customFormat="1" ht="12.95" customHeight="1" x14ac:dyDescent="0.2">
      <c r="B77" s="436" t="s">
        <v>17</v>
      </c>
      <c r="C77" s="437"/>
      <c r="D77" s="437"/>
      <c r="E77" s="437"/>
      <c r="F77" s="437"/>
      <c r="G77" s="437"/>
      <c r="H77" s="438">
        <f>+H76/H92</f>
        <v>0.10570900000000001</v>
      </c>
      <c r="I77" s="438">
        <f>+I76/I92</f>
        <v>0.10567638356164384</v>
      </c>
      <c r="J77" s="439">
        <f>+J76/J92</f>
        <v>0.10564376712328767</v>
      </c>
      <c r="K77" s="438">
        <f>+J77</f>
        <v>0.10564376712328767</v>
      </c>
      <c r="L77" s="438">
        <f>+K77</f>
        <v>0.10564376712328767</v>
      </c>
      <c r="M77" s="438">
        <f>+L77</f>
        <v>0.10564376712328767</v>
      </c>
      <c r="N77" s="438">
        <f>+M77</f>
        <v>0.10564376712328767</v>
      </c>
      <c r="O77" s="439">
        <f>+N77</f>
        <v>0.10564376712328767</v>
      </c>
    </row>
    <row r="78" spans="2:24" ht="12.95" customHeight="1" x14ac:dyDescent="0.2">
      <c r="H78" s="143"/>
      <c r="I78" s="143"/>
      <c r="J78" s="124"/>
      <c r="K78" s="136"/>
      <c r="L78" s="137"/>
      <c r="M78" s="137"/>
      <c r="N78" s="137"/>
      <c r="O78" s="137"/>
    </row>
    <row r="79" spans="2:24" ht="12.95" customHeight="1" x14ac:dyDescent="0.2">
      <c r="B79" s="21" t="s">
        <v>379</v>
      </c>
      <c r="H79" s="143"/>
      <c r="I79" s="143"/>
      <c r="J79" s="124"/>
      <c r="K79" s="136"/>
      <c r="L79" s="137"/>
      <c r="M79" s="137"/>
      <c r="N79" s="137"/>
      <c r="O79" s="137"/>
    </row>
    <row r="80" spans="2:24" ht="12.95" customHeight="1" x14ac:dyDescent="0.2">
      <c r="B80" s="417" t="s">
        <v>372</v>
      </c>
      <c r="C80" s="410"/>
      <c r="D80" s="410"/>
      <c r="E80" s="410"/>
      <c r="F80" s="410"/>
      <c r="G80" s="410"/>
      <c r="H80" s="411">
        <v>14.519074537800002</v>
      </c>
      <c r="I80" s="411">
        <v>16.751382247986751</v>
      </c>
      <c r="J80" s="412">
        <v>19.302746621141658</v>
      </c>
      <c r="K80" s="413">
        <f ca="1">+K81*K92</f>
        <v>21.441559885144944</v>
      </c>
      <c r="L80" s="413">
        <f ca="1">+L81*L92</f>
        <v>23.84449332054912</v>
      </c>
      <c r="M80" s="413">
        <f ca="1">+M81*M92</f>
        <v>26.548856271321402</v>
      </c>
      <c r="N80" s="413">
        <f ca="1">+N81*N92</f>
        <v>29.597692668931213</v>
      </c>
      <c r="O80" s="422">
        <f ca="1">+O81*O92</f>
        <v>33.040736761434232</v>
      </c>
    </row>
    <row r="81" spans="1:15" ht="12.95" customHeight="1" x14ac:dyDescent="0.2">
      <c r="B81" s="418" t="s">
        <v>17</v>
      </c>
      <c r="C81" s="401"/>
      <c r="D81" s="401"/>
      <c r="E81" s="401"/>
      <c r="F81" s="401"/>
      <c r="G81" s="401"/>
      <c r="H81" s="405">
        <f>+H80/H92</f>
        <v>1.2E-2</v>
      </c>
      <c r="I81" s="405">
        <f>+I80/I92</f>
        <v>1.3000000000000001E-2</v>
      </c>
      <c r="J81" s="406">
        <f>+J80/J92</f>
        <v>1.4E-2</v>
      </c>
      <c r="K81" s="407">
        <v>1.4500000000000001E-2</v>
      </c>
      <c r="L81" s="408">
        <v>1.5000000000000001E-2</v>
      </c>
      <c r="M81" s="408">
        <v>1.5500000000000002E-2</v>
      </c>
      <c r="N81" s="408">
        <v>1.6E-2</v>
      </c>
      <c r="O81" s="423">
        <v>1.6500000000000001E-2</v>
      </c>
    </row>
    <row r="82" spans="1:15" ht="12.95" customHeight="1" x14ac:dyDescent="0.2">
      <c r="B82" s="419" t="s">
        <v>373</v>
      </c>
      <c r="C82" s="401"/>
      <c r="D82" s="401"/>
      <c r="E82" s="401"/>
      <c r="F82" s="401"/>
      <c r="G82" s="401"/>
      <c r="H82" s="402">
        <v>13.30915165965</v>
      </c>
      <c r="I82" s="402">
        <v>13.30915165965</v>
      </c>
      <c r="J82" s="403">
        <v>13.30915165965</v>
      </c>
      <c r="K82" s="404">
        <f ca="1">+K83*K92</f>
        <v>19.962831617203911</v>
      </c>
      <c r="L82" s="404">
        <f ca="1">+L83*L92</f>
        <v>22.254860432512512</v>
      </c>
      <c r="M82" s="404">
        <f ca="1">+M83*M92</f>
        <v>24.836026834461958</v>
      </c>
      <c r="N82" s="404">
        <f ca="1">+N83*N92</f>
        <v>27.747836877123014</v>
      </c>
      <c r="O82" s="424">
        <f ca="1">+O83*O92</f>
        <v>31.038267866801853</v>
      </c>
    </row>
    <row r="83" spans="1:15" ht="12.95" customHeight="1" x14ac:dyDescent="0.2">
      <c r="B83" s="418" t="s">
        <v>17</v>
      </c>
      <c r="C83" s="401"/>
      <c r="D83" s="401"/>
      <c r="E83" s="401"/>
      <c r="F83" s="401"/>
      <c r="G83" s="401"/>
      <c r="H83" s="405">
        <f>+H82/H92</f>
        <v>1.0999999999999999E-2</v>
      </c>
      <c r="I83" s="405">
        <f>+I82/I92</f>
        <v>1.0328638497652583E-2</v>
      </c>
      <c r="J83" s="406">
        <f>+J82/J92</f>
        <v>9.6529331753762437E-3</v>
      </c>
      <c r="K83" s="407">
        <v>1.35E-2</v>
      </c>
      <c r="L83" s="408">
        <v>1.4E-2</v>
      </c>
      <c r="M83" s="408">
        <v>1.4500000000000001E-2</v>
      </c>
      <c r="N83" s="408">
        <v>1.5000000000000001E-2</v>
      </c>
      <c r="O83" s="423">
        <v>1.5500000000000002E-2</v>
      </c>
    </row>
    <row r="84" spans="1:15" ht="12.95" customHeight="1" x14ac:dyDescent="0.2">
      <c r="B84" s="419" t="s">
        <v>376</v>
      </c>
      <c r="C84" s="401"/>
      <c r="D84" s="401"/>
      <c r="E84" s="401"/>
      <c r="F84" s="401"/>
      <c r="G84" s="401"/>
      <c r="H84" s="402">
        <v>0</v>
      </c>
      <c r="I84" s="402">
        <v>0</v>
      </c>
      <c r="J84" s="403">
        <v>0</v>
      </c>
      <c r="K84" s="409">
        <v>0</v>
      </c>
      <c r="L84" s="409">
        <v>0</v>
      </c>
      <c r="M84" s="409">
        <v>0</v>
      </c>
      <c r="N84" s="409">
        <v>0</v>
      </c>
      <c r="O84" s="403">
        <v>0</v>
      </c>
    </row>
    <row r="85" spans="1:15" ht="12.95" customHeight="1" x14ac:dyDescent="0.2">
      <c r="B85" s="419" t="s">
        <v>377</v>
      </c>
      <c r="C85" s="401"/>
      <c r="D85" s="401"/>
      <c r="E85" s="401"/>
      <c r="F85" s="401"/>
      <c r="G85" s="401"/>
      <c r="H85" s="402">
        <v>9.0919467450000013</v>
      </c>
      <c r="I85" s="402">
        <v>9.6829232834249996</v>
      </c>
      <c r="J85" s="403">
        <v>10.360727913264752</v>
      </c>
      <c r="K85" s="404">
        <f ca="1">+K86*K92</f>
        <v>11.111880686976447</v>
      </c>
      <c r="L85" s="404">
        <f ca="1">+L86*L92</f>
        <v>11.945271738499681</v>
      </c>
      <c r="M85" s="404">
        <f ca="1">+M86*M92</f>
        <v>12.871030298233407</v>
      </c>
      <c r="N85" s="404">
        <f ca="1">+N86*N92</f>
        <v>13.900712722092081</v>
      </c>
      <c r="O85" s="424">
        <f ca="1">+O86*O92</f>
        <v>15.047521521664677</v>
      </c>
    </row>
    <row r="86" spans="1:15" ht="12.95" customHeight="1" x14ac:dyDescent="0.2">
      <c r="B86" s="418" t="s">
        <v>17</v>
      </c>
      <c r="C86" s="401"/>
      <c r="D86" s="401"/>
      <c r="E86" s="401"/>
      <c r="F86" s="401"/>
      <c r="G86" s="401"/>
      <c r="H86" s="405">
        <f>+H85/H92</f>
        <v>7.5144845255771982E-3</v>
      </c>
      <c r="I86" s="405">
        <f>+I85/I92</f>
        <v>7.5144845255771973E-3</v>
      </c>
      <c r="J86" s="406">
        <f>+J85/J92</f>
        <v>7.5144845255771982E-3</v>
      </c>
      <c r="K86" s="407">
        <v>7.5144845255771982E-3</v>
      </c>
      <c r="L86" s="408">
        <v>7.5144845255771982E-3</v>
      </c>
      <c r="M86" s="408">
        <v>7.5144845255771982E-3</v>
      </c>
      <c r="N86" s="408">
        <v>7.5144845255771982E-3</v>
      </c>
      <c r="O86" s="423">
        <v>7.5144845255771982E-3</v>
      </c>
    </row>
    <row r="87" spans="1:15" ht="12.95" customHeight="1" x14ac:dyDescent="0.2">
      <c r="B87" s="420" t="s">
        <v>113</v>
      </c>
      <c r="C87" s="401"/>
      <c r="D87" s="401"/>
      <c r="E87" s="401"/>
      <c r="F87" s="401"/>
      <c r="G87" s="401"/>
      <c r="H87" s="402">
        <v>5</v>
      </c>
      <c r="I87" s="402">
        <v>5</v>
      </c>
      <c r="J87" s="403">
        <v>5</v>
      </c>
      <c r="K87" s="409">
        <v>5</v>
      </c>
      <c r="L87" s="409">
        <v>5</v>
      </c>
      <c r="M87" s="409">
        <v>5</v>
      </c>
      <c r="N87" s="409">
        <v>5</v>
      </c>
      <c r="O87" s="403">
        <v>5</v>
      </c>
    </row>
    <row r="88" spans="1:15" ht="12.95" customHeight="1" x14ac:dyDescent="0.2">
      <c r="B88" s="419" t="s">
        <v>374</v>
      </c>
      <c r="C88" s="401"/>
      <c r="D88" s="401"/>
      <c r="E88" s="401"/>
      <c r="F88" s="401"/>
      <c r="G88" s="401"/>
      <c r="H88" s="402">
        <v>7.2191681345372034</v>
      </c>
      <c r="I88" s="402">
        <v>7.9045291961058837</v>
      </c>
      <c r="J88" s="403">
        <v>8.6868095464058861</v>
      </c>
      <c r="K88" s="404">
        <f ca="1">+K89*K35</f>
        <v>9.5598330051262348</v>
      </c>
      <c r="L88" s="404">
        <f ca="1">+L89*L35</f>
        <v>10.535746713249372</v>
      </c>
      <c r="M88" s="404">
        <f ca="1">+M89*M35</f>
        <v>11.628438518298985</v>
      </c>
      <c r="N88" s="404">
        <f ca="1">+N89*N35</f>
        <v>12.853863562885929</v>
      </c>
      <c r="O88" s="424">
        <f ca="1">+O89*O35</f>
        <v>14.230389728710708</v>
      </c>
    </row>
    <row r="89" spans="1:15" ht="12.95" customHeight="1" x14ac:dyDescent="0.2">
      <c r="B89" s="421" t="s">
        <v>375</v>
      </c>
      <c r="C89" s="414"/>
      <c r="D89" s="414"/>
      <c r="E89" s="414"/>
      <c r="F89" s="414"/>
      <c r="G89" s="414"/>
      <c r="H89" s="415">
        <f>H88/H35</f>
        <v>0.05</v>
      </c>
      <c r="I89" s="415">
        <f>I88/I35</f>
        <v>0.05</v>
      </c>
      <c r="J89" s="416">
        <f>J88/J35</f>
        <v>0.05</v>
      </c>
      <c r="K89" s="415">
        <f>+J89</f>
        <v>0.05</v>
      </c>
      <c r="L89" s="415">
        <f>+K89</f>
        <v>0.05</v>
      </c>
      <c r="M89" s="415">
        <f>+L89</f>
        <v>0.05</v>
      </c>
      <c r="N89" s="415">
        <f>+M89</f>
        <v>0.05</v>
      </c>
      <c r="O89" s="416">
        <f>+N89</f>
        <v>0.05</v>
      </c>
    </row>
    <row r="90" spans="1:15" ht="12.95" customHeight="1" outlineLevel="1" x14ac:dyDescent="0.2">
      <c r="H90" s="143"/>
      <c r="I90" s="143"/>
      <c r="J90" s="124"/>
      <c r="K90" s="144"/>
      <c r="L90" s="143"/>
      <c r="M90" s="143"/>
      <c r="N90" s="143"/>
      <c r="O90" s="143"/>
    </row>
    <row r="91" spans="1:15" ht="12.95" customHeight="1" outlineLevel="1" x14ac:dyDescent="0.2">
      <c r="B91" s="28" t="s">
        <v>66</v>
      </c>
      <c r="C91" s="20"/>
      <c r="D91" s="20"/>
      <c r="E91" s="20"/>
      <c r="F91" s="20"/>
      <c r="G91" s="20"/>
      <c r="H91" s="158"/>
      <c r="I91" s="158"/>
      <c r="J91" s="159"/>
      <c r="K91" s="158"/>
      <c r="L91" s="158"/>
      <c r="M91" s="158"/>
      <c r="N91" s="158"/>
      <c r="O91" s="158"/>
    </row>
    <row r="92" spans="1:15" ht="12.95" customHeight="1" outlineLevel="1" x14ac:dyDescent="0.2">
      <c r="B92" s="1" t="str">
        <f>+B26</f>
        <v>Revenue</v>
      </c>
      <c r="H92" s="137">
        <f t="shared" ref="H92:O92" si="14">+H26</f>
        <v>1209.9228781500001</v>
      </c>
      <c r="I92" s="137">
        <f t="shared" si="14"/>
        <v>1288.5678652297499</v>
      </c>
      <c r="J92" s="157">
        <f t="shared" si="14"/>
        <v>1378.7676157958326</v>
      </c>
      <c r="K92" s="136">
        <f t="shared" ca="1" si="14"/>
        <v>1478.7282679410305</v>
      </c>
      <c r="L92" s="137">
        <f t="shared" ca="1" si="14"/>
        <v>1589.6328880366079</v>
      </c>
      <c r="M92" s="137">
        <f t="shared" ca="1" si="14"/>
        <v>1712.8294368594452</v>
      </c>
      <c r="N92" s="137">
        <f t="shared" ca="1" si="14"/>
        <v>1849.8557918082008</v>
      </c>
      <c r="O92" s="137">
        <f t="shared" ca="1" si="14"/>
        <v>2002.4688946323774</v>
      </c>
    </row>
    <row r="93" spans="1:15" ht="12.95" customHeight="1" outlineLevel="1" x14ac:dyDescent="0.2">
      <c r="B93" s="1" t="str">
        <f>+B27</f>
        <v>Cost of Goods Sold (Cost of Sales)</v>
      </c>
      <c r="H93" s="137">
        <f t="shared" ref="H93:O93" si="15">-H27</f>
        <v>679.97665752030014</v>
      </c>
      <c r="I93" s="137">
        <f t="shared" si="15"/>
        <v>721.59800452866</v>
      </c>
      <c r="J93" s="157">
        <f t="shared" si="15"/>
        <v>769.35232961407462</v>
      </c>
      <c r="K93" s="136">
        <f t="shared" ca="1" si="15"/>
        <v>822.17291697521307</v>
      </c>
      <c r="L93" s="137">
        <f t="shared" ca="1" si="15"/>
        <v>880.65661997228085</v>
      </c>
      <c r="M93" s="137">
        <f t="shared" ca="1" si="15"/>
        <v>945.48184914641388</v>
      </c>
      <c r="N93" s="137">
        <f t="shared" ca="1" si="15"/>
        <v>1017.4206854945105</v>
      </c>
      <c r="O93" s="137">
        <f t="shared" ca="1" si="15"/>
        <v>1097.3529542585429</v>
      </c>
    </row>
    <row r="94" spans="1:15" ht="12.95" customHeight="1" outlineLevel="1" x14ac:dyDescent="0.2">
      <c r="B94" s="20" t="str">
        <f>+B29</f>
        <v>SG&amp;A</v>
      </c>
      <c r="C94" s="20"/>
      <c r="D94" s="20"/>
      <c r="E94" s="20"/>
      <c r="F94" s="20"/>
      <c r="G94" s="20"/>
      <c r="H94" s="140">
        <f t="shared" ref="H94:O94" si="16">-H29</f>
        <v>335.75359868662508</v>
      </c>
      <c r="I94" s="140">
        <f t="shared" si="16"/>
        <v>355.64473080341099</v>
      </c>
      <c r="J94" s="122">
        <f t="shared" si="16"/>
        <v>378.47171053595611</v>
      </c>
      <c r="K94" s="140">
        <f t="shared" ca="1" si="16"/>
        <v>403.69281714790134</v>
      </c>
      <c r="L94" s="140">
        <f t="shared" ca="1" si="16"/>
        <v>431.58532910193907</v>
      </c>
      <c r="M94" s="140">
        <f t="shared" ca="1" si="16"/>
        <v>462.46394795205021</v>
      </c>
      <c r="N94" s="140">
        <f t="shared" ca="1" si="16"/>
        <v>496.68628010050196</v>
      </c>
      <c r="O94" s="140">
        <f t="shared" ca="1" si="16"/>
        <v>534.65919486684481</v>
      </c>
    </row>
    <row r="95" spans="1:15" ht="12.95" customHeight="1" x14ac:dyDescent="0.2">
      <c r="B95" s="20"/>
      <c r="C95" s="20"/>
      <c r="D95" s="20"/>
      <c r="E95" s="20"/>
      <c r="F95" s="20"/>
      <c r="G95" s="20"/>
      <c r="H95" s="20"/>
      <c r="I95" s="20"/>
      <c r="K95" s="20"/>
      <c r="L95" s="20"/>
      <c r="M95" s="20"/>
      <c r="N95" s="20"/>
      <c r="O95" s="20"/>
    </row>
    <row r="96" spans="1:15" ht="12.95" customHeight="1" x14ac:dyDescent="0.2">
      <c r="A96" s="1" t="s">
        <v>0</v>
      </c>
      <c r="B96" s="26" t="s">
        <v>75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30"/>
    </row>
    <row r="98" spans="2:15" ht="12.95" customHeight="1" x14ac:dyDescent="0.35">
      <c r="I98" s="10"/>
      <c r="J98" s="10"/>
      <c r="K98" s="9" t="str">
        <f>+H63</f>
        <v>Fiscal Year Ended 12/31</v>
      </c>
      <c r="L98" s="10"/>
      <c r="M98" s="10"/>
      <c r="N98" s="10"/>
      <c r="O98" s="10"/>
    </row>
    <row r="99" spans="2:15" ht="12.95" customHeight="1" x14ac:dyDescent="0.2">
      <c r="B99" s="18" t="s">
        <v>76</v>
      </c>
      <c r="K99" s="11">
        <f>+$K$25</f>
        <v>2021</v>
      </c>
      <c r="L99" s="11">
        <f>+$L$25</f>
        <v>2022</v>
      </c>
      <c r="M99" s="11">
        <f>+$M$25</f>
        <v>2023</v>
      </c>
      <c r="N99" s="11">
        <f>+$N$25</f>
        <v>2024</v>
      </c>
      <c r="O99" s="11">
        <f>+$O$25</f>
        <v>2025</v>
      </c>
    </row>
    <row r="100" spans="2:15" ht="12.95" customHeight="1" x14ac:dyDescent="0.2">
      <c r="B100" s="1" t="s">
        <v>39</v>
      </c>
      <c r="H100" s="17"/>
      <c r="I100" s="17"/>
      <c r="J100" s="17"/>
      <c r="K100" s="160">
        <f ca="1">+K35</f>
        <v>191.1966601025247</v>
      </c>
      <c r="L100" s="160">
        <f ca="1">+L35</f>
        <v>210.71493426498742</v>
      </c>
      <c r="M100" s="160">
        <f ca="1">+M35</f>
        <v>232.56877036597967</v>
      </c>
      <c r="N100" s="160">
        <f ca="1">+N35</f>
        <v>257.07727125771856</v>
      </c>
      <c r="O100" s="160">
        <f ca="1">+O35</f>
        <v>284.60779457421415</v>
      </c>
    </row>
    <row r="101" spans="2:15" ht="12.95" customHeight="1" x14ac:dyDescent="0.2">
      <c r="B101" s="1" t="s">
        <v>77</v>
      </c>
      <c r="H101" s="23"/>
      <c r="I101" s="23"/>
      <c r="J101" s="23"/>
      <c r="K101" s="137">
        <f ca="1">+K82</f>
        <v>19.962831617203911</v>
      </c>
      <c r="L101" s="137">
        <f ca="1">+L82</f>
        <v>22.254860432512512</v>
      </c>
      <c r="M101" s="137">
        <f ca="1">+M82</f>
        <v>24.836026834461958</v>
      </c>
      <c r="N101" s="137">
        <f ca="1">+N82</f>
        <v>27.747836877123014</v>
      </c>
      <c r="O101" s="137">
        <f ca="1">+O82</f>
        <v>31.038267866801853</v>
      </c>
    </row>
    <row r="102" spans="2:15" ht="12.95" customHeight="1" x14ac:dyDescent="0.2">
      <c r="B102" s="1" t="s">
        <v>134</v>
      </c>
      <c r="H102" s="23"/>
      <c r="I102" s="23"/>
      <c r="J102" s="23"/>
      <c r="K102" s="137">
        <f ca="1">+K85</f>
        <v>11.111880686976447</v>
      </c>
      <c r="L102" s="137">
        <f ca="1">+L85</f>
        <v>11.945271738499681</v>
      </c>
      <c r="M102" s="137">
        <f ca="1">+M85</f>
        <v>12.871030298233407</v>
      </c>
      <c r="N102" s="137">
        <f ca="1">+N85</f>
        <v>13.900712722092081</v>
      </c>
      <c r="O102" s="137">
        <f ca="1">+O85</f>
        <v>15.047521521664677</v>
      </c>
    </row>
    <row r="103" spans="2:15" ht="12.95" customHeight="1" x14ac:dyDescent="0.2">
      <c r="K103" s="143"/>
      <c r="L103" s="143"/>
      <c r="M103" s="143"/>
      <c r="N103" s="143"/>
      <c r="O103" s="143"/>
    </row>
    <row r="104" spans="2:15" ht="12.95" customHeight="1" x14ac:dyDescent="0.2">
      <c r="B104" s="1" t="s">
        <v>79</v>
      </c>
      <c r="H104" s="17"/>
      <c r="I104" s="17"/>
      <c r="J104" s="17"/>
      <c r="K104" s="425">
        <f ca="1">+J76-K76</f>
        <v>-10.560219856719243</v>
      </c>
      <c r="L104" s="425">
        <f ca="1">+K76-L76</f>
        <v>-11.716381858273877</v>
      </c>
      <c r="M104" s="425">
        <f ca="1">+L76-M76</f>
        <v>-13.014947514232546</v>
      </c>
      <c r="N104" s="425">
        <f ca="1">+M76-N76</f>
        <v>-14.475980331959306</v>
      </c>
      <c r="O104" s="425">
        <f ca="1">+N76-O76</f>
        <v>-16.122623094719671</v>
      </c>
    </row>
    <row r="105" spans="2:15" ht="12.95" customHeight="1" x14ac:dyDescent="0.2">
      <c r="K105" s="143"/>
      <c r="L105" s="143"/>
      <c r="M105" s="143"/>
      <c r="N105" s="143"/>
      <c r="O105" s="143"/>
    </row>
    <row r="106" spans="2:15" s="93" customFormat="1" ht="12.95" customHeight="1" x14ac:dyDescent="0.2">
      <c r="B106" s="16" t="s">
        <v>166</v>
      </c>
      <c r="C106" s="16"/>
      <c r="D106" s="16"/>
      <c r="E106" s="16"/>
      <c r="F106" s="16"/>
      <c r="G106" s="16"/>
      <c r="H106" s="71"/>
      <c r="I106" s="71"/>
      <c r="J106" s="71"/>
      <c r="K106" s="155">
        <f ca="1">+SUM(K100:K102,K104)</f>
        <v>211.7111525499858</v>
      </c>
      <c r="L106" s="155">
        <f ca="1">+SUM(L100:L102,L104)</f>
        <v>233.19868457772574</v>
      </c>
      <c r="M106" s="155">
        <f ca="1">+SUM(M100:M102,M104)</f>
        <v>257.26087998444245</v>
      </c>
      <c r="N106" s="155">
        <f ca="1">+SUM(N100:N102,N104)</f>
        <v>284.24984052497433</v>
      </c>
      <c r="O106" s="155">
        <f ca="1">+SUM(O100:O102,O104)</f>
        <v>314.57096086796105</v>
      </c>
    </row>
    <row r="107" spans="2:15" ht="12.95" customHeight="1" x14ac:dyDescent="0.2">
      <c r="K107" s="143"/>
      <c r="L107" s="143"/>
      <c r="M107" s="143"/>
      <c r="N107" s="143"/>
      <c r="O107" s="143"/>
    </row>
    <row r="108" spans="2:15" ht="12.95" customHeight="1" x14ac:dyDescent="0.2">
      <c r="B108" s="18" t="s">
        <v>80</v>
      </c>
      <c r="K108" s="143"/>
      <c r="L108" s="143"/>
      <c r="M108" s="143"/>
      <c r="N108" s="143"/>
      <c r="O108" s="143"/>
    </row>
    <row r="109" spans="2:15" ht="12.95" customHeight="1" x14ac:dyDescent="0.2">
      <c r="B109" s="1" t="s">
        <v>16</v>
      </c>
      <c r="H109" s="17"/>
      <c r="I109" s="17"/>
      <c r="J109" s="17"/>
      <c r="K109" s="160">
        <f ca="1">-K80</f>
        <v>-21.441559885144944</v>
      </c>
      <c r="L109" s="160">
        <f ca="1">-L80</f>
        <v>-23.84449332054912</v>
      </c>
      <c r="M109" s="160">
        <f ca="1">-M80</f>
        <v>-26.548856271321402</v>
      </c>
      <c r="N109" s="160">
        <f ca="1">-N80</f>
        <v>-29.597692668931213</v>
      </c>
      <c r="O109" s="160">
        <f ca="1">-O80</f>
        <v>-33.040736761434232</v>
      </c>
    </row>
    <row r="110" spans="2:15" s="92" customFormat="1" ht="12.95" customHeight="1" x14ac:dyDescent="0.2">
      <c r="B110" s="16" t="s">
        <v>167</v>
      </c>
      <c r="C110" s="16"/>
      <c r="D110" s="16"/>
      <c r="E110" s="16"/>
      <c r="F110" s="16"/>
      <c r="G110" s="16"/>
      <c r="H110" s="71"/>
      <c r="I110" s="71"/>
      <c r="J110" s="71"/>
      <c r="K110" s="155">
        <f ca="1">SUM(K109)</f>
        <v>-21.441559885144944</v>
      </c>
      <c r="L110" s="155">
        <f ca="1">SUM(L109)</f>
        <v>-23.84449332054912</v>
      </c>
      <c r="M110" s="155">
        <f ca="1">SUM(M109)</f>
        <v>-26.548856271321402</v>
      </c>
      <c r="N110" s="155">
        <f ca="1">SUM(N109)</f>
        <v>-29.597692668931213</v>
      </c>
      <c r="O110" s="155">
        <f ca="1">SUM(O109)</f>
        <v>-33.040736761434232</v>
      </c>
    </row>
    <row r="111" spans="2:15" ht="12.95" customHeight="1" x14ac:dyDescent="0.2">
      <c r="K111" s="143"/>
      <c r="L111" s="143"/>
      <c r="M111" s="143"/>
      <c r="N111" s="143"/>
      <c r="O111" s="143"/>
    </row>
    <row r="112" spans="2:15" ht="12.95" customHeight="1" x14ac:dyDescent="0.2">
      <c r="B112" s="18" t="s">
        <v>81</v>
      </c>
      <c r="K112" s="160"/>
      <c r="L112" s="160"/>
      <c r="M112" s="160"/>
      <c r="N112" s="160"/>
      <c r="O112" s="160"/>
    </row>
    <row r="113" spans="1:20" ht="12.95" customHeight="1" x14ac:dyDescent="0.2">
      <c r="B113" s="1" t="s">
        <v>82</v>
      </c>
      <c r="K113" s="160">
        <f>+K128</f>
        <v>0</v>
      </c>
      <c r="L113" s="160">
        <f>+L128</f>
        <v>0</v>
      </c>
      <c r="M113" s="160">
        <f>+M128</f>
        <v>0</v>
      </c>
      <c r="N113" s="160">
        <f>+N128</f>
        <v>0</v>
      </c>
      <c r="O113" s="160">
        <f>+O128</f>
        <v>0</v>
      </c>
    </row>
    <row r="114" spans="1:20" s="93" customFormat="1" ht="12.95" customHeight="1" x14ac:dyDescent="0.2">
      <c r="B114" s="93" t="s">
        <v>156</v>
      </c>
      <c r="K114" s="136">
        <f ca="1">+K146</f>
        <v>0</v>
      </c>
      <c r="L114" s="136">
        <f ca="1">+L146</f>
        <v>0</v>
      </c>
      <c r="M114" s="136">
        <f ca="1">+M146</f>
        <v>0</v>
      </c>
      <c r="N114" s="136">
        <f ca="1">+N146</f>
        <v>0</v>
      </c>
      <c r="O114" s="136">
        <f ca="1">+O146</f>
        <v>0</v>
      </c>
    </row>
    <row r="115" spans="1:20" s="93" customFormat="1" ht="12.95" customHeight="1" x14ac:dyDescent="0.2">
      <c r="B115" s="93" t="s">
        <v>112</v>
      </c>
      <c r="K115" s="136">
        <f t="shared" ref="K115:O117" si="17">+K134</f>
        <v>0</v>
      </c>
      <c r="L115" s="136">
        <f t="shared" si="17"/>
        <v>0</v>
      </c>
      <c r="M115" s="136">
        <f t="shared" si="17"/>
        <v>0</v>
      </c>
      <c r="N115" s="136">
        <f t="shared" si="17"/>
        <v>0</v>
      </c>
      <c r="O115" s="136">
        <f t="shared" si="17"/>
        <v>0</v>
      </c>
    </row>
    <row r="116" spans="1:20" s="93" customFormat="1" ht="12.95" customHeight="1" x14ac:dyDescent="0.2">
      <c r="B116" s="93" t="s">
        <v>113</v>
      </c>
      <c r="K116" s="136">
        <f t="shared" si="17"/>
        <v>-5</v>
      </c>
      <c r="L116" s="136">
        <f t="shared" si="17"/>
        <v>-5</v>
      </c>
      <c r="M116" s="136">
        <f t="shared" si="17"/>
        <v>-5</v>
      </c>
      <c r="N116" s="136">
        <f t="shared" si="17"/>
        <v>-5</v>
      </c>
      <c r="O116" s="136">
        <f t="shared" si="17"/>
        <v>-5</v>
      </c>
    </row>
    <row r="117" spans="1:20" ht="12.95" customHeight="1" x14ac:dyDescent="0.2">
      <c r="B117" s="93" t="s">
        <v>114</v>
      </c>
      <c r="C117" s="93"/>
      <c r="D117" s="93"/>
      <c r="E117" s="93"/>
      <c r="F117" s="93"/>
      <c r="G117" s="93"/>
      <c r="H117" s="93"/>
      <c r="I117" s="93"/>
      <c r="J117" s="93"/>
      <c r="K117" s="136">
        <f t="shared" ca="1" si="17"/>
        <v>-9.5598330051262348</v>
      </c>
      <c r="L117" s="136">
        <f t="shared" ca="1" si="17"/>
        <v>-10.535746713249372</v>
      </c>
      <c r="M117" s="136">
        <f t="shared" ca="1" si="17"/>
        <v>-11.628438518298985</v>
      </c>
      <c r="N117" s="136">
        <f t="shared" ca="1" si="17"/>
        <v>-12.853863562885929</v>
      </c>
      <c r="O117" s="136">
        <f t="shared" ca="1" si="17"/>
        <v>-14.230389728710708</v>
      </c>
    </row>
    <row r="118" spans="1:20" s="21" customFormat="1" ht="12.95" customHeight="1" x14ac:dyDescent="0.2">
      <c r="B118" s="256" t="s">
        <v>168</v>
      </c>
      <c r="C118" s="256"/>
      <c r="D118" s="256"/>
      <c r="E118" s="256"/>
      <c r="F118" s="256"/>
      <c r="G118" s="256"/>
      <c r="H118" s="257"/>
      <c r="I118" s="257"/>
      <c r="J118" s="257"/>
      <c r="K118" s="257">
        <f ca="1">+SUM(K113:K117)</f>
        <v>-14.559833005126235</v>
      </c>
      <c r="L118" s="257">
        <f ca="1">+SUM(L113:L117)</f>
        <v>-15.535746713249372</v>
      </c>
      <c r="M118" s="257">
        <f ca="1">+SUM(M113:M117)</f>
        <v>-16.628438518298985</v>
      </c>
      <c r="N118" s="257">
        <f ca="1">+SUM(N113:N117)</f>
        <v>-17.853863562885927</v>
      </c>
      <c r="O118" s="257">
        <f ca="1">+SUM(O113:O117)</f>
        <v>-19.230389728710708</v>
      </c>
      <c r="T118" s="1"/>
    </row>
    <row r="119" spans="1:20" ht="12.95" customHeight="1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158"/>
      <c r="L119" s="158"/>
      <c r="M119" s="158"/>
      <c r="N119" s="158"/>
      <c r="O119" s="158"/>
      <c r="T119" s="92"/>
    </row>
    <row r="120" spans="1:20" s="93" customFormat="1" ht="12.95" customHeight="1" x14ac:dyDescent="0.2">
      <c r="B120" s="16" t="s">
        <v>83</v>
      </c>
      <c r="C120" s="16"/>
      <c r="D120" s="16"/>
      <c r="E120" s="16"/>
      <c r="F120" s="16"/>
      <c r="G120" s="16"/>
      <c r="H120" s="71"/>
      <c r="I120" s="71"/>
      <c r="J120" s="71"/>
      <c r="K120" s="155">
        <f ca="1">+K106+K110+K118</f>
        <v>175.70975965971462</v>
      </c>
      <c r="L120" s="155">
        <f ca="1">+L106+L110+L118</f>
        <v>193.81844454392726</v>
      </c>
      <c r="M120" s="155">
        <f ca="1">+M106+M110+M118</f>
        <v>214.08358519482206</v>
      </c>
      <c r="N120" s="155">
        <f ca="1">+N106+N110+N118</f>
        <v>236.7982842931572</v>
      </c>
      <c r="O120" s="155">
        <f ca="1">+O106+O110+O118</f>
        <v>262.29983437781613</v>
      </c>
      <c r="T120" s="92"/>
    </row>
    <row r="121" spans="1:20" ht="12.95" customHeight="1" x14ac:dyDescent="0.2">
      <c r="T121" s="92"/>
    </row>
    <row r="122" spans="1:20" ht="12.95" customHeight="1" x14ac:dyDescent="0.2">
      <c r="A122" s="1" t="s">
        <v>0</v>
      </c>
      <c r="B122" s="26" t="s">
        <v>84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30"/>
      <c r="T122" s="92"/>
    </row>
    <row r="124" spans="1:20" ht="12.95" customHeight="1" x14ac:dyDescent="0.35">
      <c r="K124" s="9" t="str">
        <f>+K98</f>
        <v>Fiscal Year Ended 12/31</v>
      </c>
      <c r="L124" s="10"/>
      <c r="M124" s="10"/>
      <c r="N124" s="10"/>
      <c r="O124" s="10"/>
    </row>
    <row r="125" spans="1:20" ht="12.95" customHeight="1" x14ac:dyDescent="0.2">
      <c r="K125" s="11">
        <f>+$K$25</f>
        <v>2021</v>
      </c>
      <c r="L125" s="11">
        <f>+$L$25</f>
        <v>2022</v>
      </c>
      <c r="M125" s="11">
        <f>+$M$25</f>
        <v>2023</v>
      </c>
      <c r="N125" s="11">
        <f>+$N$25</f>
        <v>2024</v>
      </c>
      <c r="O125" s="11">
        <f>+$O$25</f>
        <v>2025</v>
      </c>
    </row>
    <row r="126" spans="1:20" ht="12.95" customHeight="1" x14ac:dyDescent="0.2">
      <c r="B126" s="18" t="s">
        <v>85</v>
      </c>
    </row>
    <row r="127" spans="1:20" ht="12.95" customHeight="1" x14ac:dyDescent="0.2">
      <c r="B127" s="158" t="s">
        <v>133</v>
      </c>
      <c r="C127" s="20"/>
      <c r="D127" s="20"/>
      <c r="E127" s="20"/>
      <c r="F127" s="20"/>
      <c r="G127" s="20"/>
      <c r="H127" s="20"/>
      <c r="I127" s="20"/>
      <c r="J127" s="20"/>
      <c r="K127" s="170">
        <f>+K165</f>
        <v>0</v>
      </c>
      <c r="L127" s="170">
        <f>+L165</f>
        <v>0</v>
      </c>
      <c r="M127" s="170">
        <f>+M165</f>
        <v>0</v>
      </c>
      <c r="N127" s="170">
        <f>+N165</f>
        <v>0</v>
      </c>
      <c r="O127" s="170">
        <f>+O165</f>
        <v>0</v>
      </c>
    </row>
    <row r="128" spans="1:20" s="21" customFormat="1" ht="12.95" customHeight="1" x14ac:dyDescent="0.2">
      <c r="B128" s="21" t="s">
        <v>86</v>
      </c>
      <c r="H128" s="78"/>
      <c r="I128" s="78"/>
      <c r="J128" s="78"/>
      <c r="K128" s="147">
        <f>+SUM(K127)</f>
        <v>0</v>
      </c>
      <c r="L128" s="147">
        <f>+SUM(L127)</f>
        <v>0</v>
      </c>
      <c r="M128" s="147">
        <f>+SUM(M127)</f>
        <v>0</v>
      </c>
      <c r="N128" s="147">
        <f>+SUM(N127)</f>
        <v>0</v>
      </c>
      <c r="O128" s="147">
        <f>+SUM(O127)</f>
        <v>0</v>
      </c>
    </row>
    <row r="130" spans="2:15" ht="12.95" customHeight="1" x14ac:dyDescent="0.2">
      <c r="B130" s="18" t="s">
        <v>326</v>
      </c>
    </row>
    <row r="131" spans="2:15" ht="12.95" customHeight="1" x14ac:dyDescent="0.2">
      <c r="B131" s="1" t="s">
        <v>87</v>
      </c>
      <c r="K131" s="160">
        <f ca="1">+K106+K110</f>
        <v>190.26959266484084</v>
      </c>
      <c r="L131" s="160">
        <f ca="1">+L106+L110</f>
        <v>209.35419125717664</v>
      </c>
      <c r="M131" s="160">
        <f ca="1">+M106+M110</f>
        <v>230.71202371312106</v>
      </c>
      <c r="N131" s="160">
        <f ca="1">+N106+N110</f>
        <v>254.65214785604311</v>
      </c>
      <c r="O131" s="160">
        <f ca="1">+O106+O110</f>
        <v>281.53022410652682</v>
      </c>
    </row>
    <row r="132" spans="2:15" ht="12.95" customHeight="1" x14ac:dyDescent="0.2">
      <c r="B132" s="1" t="s">
        <v>88</v>
      </c>
      <c r="K132" s="137">
        <f>+K128</f>
        <v>0</v>
      </c>
      <c r="L132" s="137">
        <f>+L128</f>
        <v>0</v>
      </c>
      <c r="M132" s="137">
        <f>+M128</f>
        <v>0</v>
      </c>
      <c r="N132" s="137">
        <f>+N128</f>
        <v>0</v>
      </c>
      <c r="O132" s="137">
        <f>+O128</f>
        <v>0</v>
      </c>
    </row>
    <row r="133" spans="2:15" s="92" customFormat="1" ht="12.95" customHeight="1" x14ac:dyDescent="0.2">
      <c r="B133" s="16" t="s">
        <v>323</v>
      </c>
      <c r="C133" s="16"/>
      <c r="D133" s="16"/>
      <c r="E133" s="16"/>
      <c r="F133" s="16"/>
      <c r="G133" s="16"/>
      <c r="H133" s="16"/>
      <c r="I133" s="16"/>
      <c r="J133" s="16"/>
      <c r="K133" s="155">
        <f ca="1">SUM(K131:K132)</f>
        <v>190.26959266484084</v>
      </c>
      <c r="L133" s="155">
        <f ca="1">SUM(L131:L132)</f>
        <v>209.35419125717664</v>
      </c>
      <c r="M133" s="155">
        <f ca="1">SUM(M131:M132)</f>
        <v>230.71202371312106</v>
      </c>
      <c r="N133" s="155">
        <f ca="1">SUM(N131:N132)</f>
        <v>254.65214785604311</v>
      </c>
      <c r="O133" s="155">
        <f ca="1">SUM(O131:O132)</f>
        <v>281.53022410652682</v>
      </c>
    </row>
    <row r="134" spans="2:15" ht="12.95" customHeight="1" x14ac:dyDescent="0.2">
      <c r="B134" s="1" t="s">
        <v>115</v>
      </c>
      <c r="K134" s="171">
        <f>+K84</f>
        <v>0</v>
      </c>
      <c r="L134" s="171">
        <f>+L84</f>
        <v>0</v>
      </c>
      <c r="M134" s="171">
        <f>+M84</f>
        <v>0</v>
      </c>
      <c r="N134" s="171">
        <f>+N84</f>
        <v>0</v>
      </c>
      <c r="O134" s="171">
        <f>+O84</f>
        <v>0</v>
      </c>
    </row>
    <row r="135" spans="2:15" ht="12.95" customHeight="1" x14ac:dyDescent="0.2">
      <c r="B135" s="1" t="s">
        <v>116</v>
      </c>
      <c r="K135" s="171">
        <f t="shared" ref="K135:O136" si="18">-K87</f>
        <v>-5</v>
      </c>
      <c r="L135" s="171">
        <f t="shared" si="18"/>
        <v>-5</v>
      </c>
      <c r="M135" s="171">
        <f t="shared" si="18"/>
        <v>-5</v>
      </c>
      <c r="N135" s="171">
        <f t="shared" si="18"/>
        <v>-5</v>
      </c>
      <c r="O135" s="171">
        <f t="shared" si="18"/>
        <v>-5</v>
      </c>
    </row>
    <row r="136" spans="2:15" ht="12.95" customHeight="1" x14ac:dyDescent="0.2">
      <c r="B136" s="20" t="s">
        <v>117</v>
      </c>
      <c r="C136" s="20"/>
      <c r="D136" s="20"/>
      <c r="E136" s="20"/>
      <c r="F136" s="20"/>
      <c r="G136" s="20"/>
      <c r="H136" s="20"/>
      <c r="I136" s="20"/>
      <c r="J136" s="20"/>
      <c r="K136" s="172">
        <f t="shared" ca="1" si="18"/>
        <v>-9.5598330051262348</v>
      </c>
      <c r="L136" s="172">
        <f t="shared" ca="1" si="18"/>
        <v>-10.535746713249372</v>
      </c>
      <c r="M136" s="172">
        <f t="shared" ca="1" si="18"/>
        <v>-11.628438518298985</v>
      </c>
      <c r="N136" s="172">
        <f t="shared" ca="1" si="18"/>
        <v>-12.853863562885929</v>
      </c>
      <c r="O136" s="172">
        <f t="shared" ca="1" si="18"/>
        <v>-14.230389728710708</v>
      </c>
    </row>
    <row r="137" spans="2:15" s="21" customFormat="1" ht="12.95" customHeight="1" x14ac:dyDescent="0.2">
      <c r="B137" s="21" t="s">
        <v>324</v>
      </c>
      <c r="C137" s="92"/>
      <c r="D137" s="92"/>
      <c r="E137" s="92"/>
      <c r="F137" s="92"/>
      <c r="G137" s="92"/>
      <c r="H137" s="92"/>
      <c r="I137" s="92"/>
      <c r="J137" s="92"/>
      <c r="K137" s="94">
        <f ca="1">+SUM(K133:K136)</f>
        <v>175.70975965971462</v>
      </c>
      <c r="L137" s="94">
        <f ca="1">+SUM(L133:L136)</f>
        <v>193.81844454392726</v>
      </c>
      <c r="M137" s="94">
        <f ca="1">+SUM(M133:M136)</f>
        <v>214.08358519482206</v>
      </c>
      <c r="N137" s="94">
        <f ca="1">+SUM(N133:N136)</f>
        <v>236.7982842931572</v>
      </c>
      <c r="O137" s="94">
        <f ca="1">+SUM(O133:O136)</f>
        <v>262.29983437781613</v>
      </c>
    </row>
    <row r="139" spans="2:15" ht="12.95" customHeight="1" x14ac:dyDescent="0.2">
      <c r="B139" s="1" t="s">
        <v>89</v>
      </c>
      <c r="H139" s="23"/>
      <c r="I139" s="23"/>
      <c r="J139" s="23"/>
      <c r="K139" s="160">
        <f>+K176</f>
        <v>713.27823871970929</v>
      </c>
      <c r="L139" s="160">
        <f ca="1">+L176</f>
        <v>888.98799837942397</v>
      </c>
      <c r="M139" s="160">
        <f ca="1">+M176</f>
        <v>1082.8064429233511</v>
      </c>
      <c r="N139" s="160">
        <f ca="1">+N176</f>
        <v>1296.8900281181732</v>
      </c>
      <c r="O139" s="160">
        <f ca="1">+O176</f>
        <v>1533.6883124113303</v>
      </c>
    </row>
    <row r="140" spans="2:15" ht="12.95" customHeight="1" x14ac:dyDescent="0.2">
      <c r="B140" s="1" t="s">
        <v>90</v>
      </c>
      <c r="H140" s="23"/>
      <c r="I140" s="23"/>
      <c r="J140" s="23"/>
      <c r="K140" s="137">
        <f>-$E$6</f>
        <v>-5</v>
      </c>
      <c r="L140" s="137">
        <f>-$E$6</f>
        <v>-5</v>
      </c>
      <c r="M140" s="137">
        <f>-$E$6</f>
        <v>-5</v>
      </c>
      <c r="N140" s="137">
        <f>-$E$6</f>
        <v>-5</v>
      </c>
      <c r="O140" s="137">
        <f>-$E$6</f>
        <v>-5</v>
      </c>
    </row>
    <row r="141" spans="2:15" ht="12.95" customHeight="1" x14ac:dyDescent="0.2">
      <c r="B141" s="1" t="s">
        <v>325</v>
      </c>
      <c r="H141" s="23"/>
      <c r="I141" s="23"/>
      <c r="J141" s="23"/>
      <c r="K141" s="137">
        <f ca="1">+K137</f>
        <v>175.70975965971462</v>
      </c>
      <c r="L141" s="137">
        <f ca="1">+L137</f>
        <v>193.81844454392726</v>
      </c>
      <c r="M141" s="137">
        <f ca="1">+M137</f>
        <v>214.08358519482206</v>
      </c>
      <c r="N141" s="137">
        <f ca="1">+N137</f>
        <v>236.7982842931572</v>
      </c>
      <c r="O141" s="137">
        <f ca="1">+O137</f>
        <v>262.29983437781613</v>
      </c>
    </row>
    <row r="142" spans="2:15" s="92" customFormat="1" ht="12.95" customHeight="1" x14ac:dyDescent="0.2">
      <c r="B142" s="16" t="s">
        <v>91</v>
      </c>
      <c r="C142" s="16"/>
      <c r="D142" s="16"/>
      <c r="E142" s="16"/>
      <c r="F142" s="16"/>
      <c r="G142" s="16"/>
      <c r="H142" s="71"/>
      <c r="I142" s="71"/>
      <c r="J142" s="71"/>
      <c r="K142" s="155">
        <f ca="1">SUM(K139:K141)</f>
        <v>883.98799837942397</v>
      </c>
      <c r="L142" s="155">
        <f ca="1">SUM(L139:L141)</f>
        <v>1077.8064429233511</v>
      </c>
      <c r="M142" s="155">
        <f ca="1">SUM(M139:M141)</f>
        <v>1291.8900281181732</v>
      </c>
      <c r="N142" s="155">
        <f ca="1">SUM(N139:N141)</f>
        <v>1528.6883124113303</v>
      </c>
      <c r="O142" s="155">
        <f ca="1">SUM(O139:O141)</f>
        <v>1790.9881467891464</v>
      </c>
    </row>
    <row r="144" spans="2:15" s="21" customFormat="1" ht="12.95" customHeight="1" x14ac:dyDescent="0.2">
      <c r="B144" s="18" t="s">
        <v>154</v>
      </c>
    </row>
    <row r="145" spans="1:15" ht="12.95" customHeight="1" x14ac:dyDescent="0.2">
      <c r="B145" s="158" t="s">
        <v>12</v>
      </c>
      <c r="C145" s="20"/>
      <c r="D145" s="20"/>
      <c r="E145" s="20"/>
      <c r="F145" s="20"/>
      <c r="G145" s="20"/>
      <c r="H145" s="20"/>
      <c r="I145" s="20"/>
      <c r="J145" s="20"/>
      <c r="K145" s="140">
        <f ca="1">+K154</f>
        <v>0</v>
      </c>
      <c r="L145" s="140">
        <f ca="1">+L154</f>
        <v>0</v>
      </c>
      <c r="M145" s="140">
        <f ca="1">+M154</f>
        <v>0</v>
      </c>
      <c r="N145" s="140">
        <f ca="1">+N154</f>
        <v>0</v>
      </c>
      <c r="O145" s="140">
        <f ca="1">+O154</f>
        <v>0</v>
      </c>
    </row>
    <row r="146" spans="1:15" s="21" customFormat="1" ht="12.95" customHeight="1" x14ac:dyDescent="0.2">
      <c r="B146" s="92" t="s">
        <v>155</v>
      </c>
      <c r="C146" s="92"/>
      <c r="D146" s="92"/>
      <c r="E146" s="92"/>
      <c r="F146" s="92"/>
      <c r="G146" s="92"/>
      <c r="H146" s="92"/>
      <c r="I146" s="92"/>
      <c r="J146" s="92"/>
      <c r="K146" s="154">
        <f ca="1">SUM(K145:K145)</f>
        <v>0</v>
      </c>
      <c r="L146" s="154">
        <f ca="1">SUM(L145:L145)</f>
        <v>0</v>
      </c>
      <c r="M146" s="154">
        <f ca="1">SUM(M145:M145)</f>
        <v>0</v>
      </c>
      <c r="N146" s="154">
        <f ca="1">SUM(N145:N145)</f>
        <v>0</v>
      </c>
      <c r="O146" s="154">
        <f ca="1">SUM(O145:O145)</f>
        <v>0</v>
      </c>
    </row>
    <row r="148" spans="1:15" ht="12.95" customHeight="1" x14ac:dyDescent="0.2">
      <c r="A148" s="1" t="s">
        <v>0</v>
      </c>
      <c r="B148" s="26" t="s">
        <v>92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30"/>
    </row>
    <row r="150" spans="1:15" ht="12.95" customHeight="1" x14ac:dyDescent="0.35">
      <c r="K150" s="9" t="str">
        <f>+K124</f>
        <v>Fiscal Year Ended 12/31</v>
      </c>
      <c r="L150" s="10"/>
      <c r="M150" s="10"/>
      <c r="N150" s="10"/>
      <c r="O150" s="10"/>
    </row>
    <row r="151" spans="1:15" ht="12.95" customHeight="1" x14ac:dyDescent="0.2">
      <c r="K151" s="11">
        <f>+$K$25</f>
        <v>2021</v>
      </c>
      <c r="L151" s="11">
        <f>+$L$25</f>
        <v>2022</v>
      </c>
      <c r="M151" s="11">
        <f>+$M$25</f>
        <v>2023</v>
      </c>
      <c r="N151" s="11">
        <f>+$N$25</f>
        <v>2024</v>
      </c>
      <c r="O151" s="11">
        <f>+$O$25</f>
        <v>2025</v>
      </c>
    </row>
    <row r="152" spans="1:15" ht="12.95" customHeight="1" x14ac:dyDescent="0.2">
      <c r="B152" s="174" t="str">
        <f>+B145</f>
        <v>Revolving Credit Facility</v>
      </c>
      <c r="C152" s="20"/>
      <c r="D152" s="20"/>
      <c r="E152" s="20"/>
      <c r="F152" s="20"/>
      <c r="G152" s="20"/>
      <c r="H152" s="20"/>
      <c r="I152" s="20"/>
      <c r="J152" s="20"/>
      <c r="K152" s="93"/>
      <c r="L152" s="20"/>
      <c r="M152" s="20"/>
      <c r="N152" s="20"/>
      <c r="O152" s="20"/>
    </row>
    <row r="153" spans="1:15" ht="12.95" customHeight="1" x14ac:dyDescent="0.2">
      <c r="B153" s="1" t="s">
        <v>93</v>
      </c>
      <c r="K153" s="426">
        <v>0</v>
      </c>
      <c r="L153" s="160">
        <f ca="1">+K155</f>
        <v>0</v>
      </c>
      <c r="M153" s="160">
        <f ca="1">+L155</f>
        <v>0</v>
      </c>
      <c r="N153" s="160">
        <f ca="1">+M155</f>
        <v>0</v>
      </c>
      <c r="O153" s="160">
        <f ca="1">+N155</f>
        <v>0</v>
      </c>
    </row>
    <row r="154" spans="1:15" ht="12.95" customHeight="1" x14ac:dyDescent="0.2">
      <c r="B154" s="20" t="s">
        <v>94</v>
      </c>
      <c r="C154" s="20"/>
      <c r="D154" s="20"/>
      <c r="E154" s="20"/>
      <c r="F154" s="20"/>
      <c r="G154" s="20"/>
      <c r="H154" s="20"/>
      <c r="I154" s="20"/>
      <c r="J154" s="20"/>
      <c r="K154" s="140">
        <f ca="1">-MIN(K153,K142)</f>
        <v>0</v>
      </c>
      <c r="L154" s="140">
        <f ca="1">-MIN(L153,L142)</f>
        <v>0</v>
      </c>
      <c r="M154" s="140">
        <f ca="1">-MIN(M153,M142)</f>
        <v>0</v>
      </c>
      <c r="N154" s="140">
        <f ca="1">-MIN(N153,N142)</f>
        <v>0</v>
      </c>
      <c r="O154" s="140">
        <f ca="1">-MIN(O153,O142)</f>
        <v>0</v>
      </c>
    </row>
    <row r="155" spans="1:15" ht="12.95" customHeight="1" x14ac:dyDescent="0.2">
      <c r="B155" s="21" t="s">
        <v>95</v>
      </c>
      <c r="C155" s="21"/>
      <c r="D155" s="21"/>
      <c r="E155" s="21"/>
      <c r="F155" s="21"/>
      <c r="G155" s="21"/>
      <c r="H155" s="21"/>
      <c r="I155" s="21"/>
      <c r="J155" s="21"/>
      <c r="K155" s="147">
        <f ca="1">SUM(K153:K154)</f>
        <v>0</v>
      </c>
      <c r="L155" s="147">
        <f ca="1">SUM(L153:L154)</f>
        <v>0</v>
      </c>
      <c r="M155" s="147">
        <f ca="1">SUM(M153:M154)</f>
        <v>0</v>
      </c>
      <c r="N155" s="147">
        <f ca="1">SUM(N153:N154)</f>
        <v>0</v>
      </c>
      <c r="O155" s="147">
        <f ca="1">SUM(O153:O154)</f>
        <v>0</v>
      </c>
    </row>
    <row r="156" spans="1:15" ht="12.95" customHeight="1" x14ac:dyDescent="0.2">
      <c r="B156" s="21"/>
      <c r="C156" s="21"/>
      <c r="D156" s="21"/>
      <c r="E156" s="21"/>
      <c r="F156" s="21"/>
      <c r="G156" s="21"/>
      <c r="H156" s="21"/>
      <c r="I156" s="21"/>
      <c r="J156" s="21"/>
      <c r="K156" s="175"/>
      <c r="L156" s="175"/>
      <c r="M156" s="175"/>
      <c r="N156" s="175"/>
      <c r="O156" s="175"/>
    </row>
    <row r="157" spans="1:15" ht="12.95" customHeight="1" x14ac:dyDescent="0.25">
      <c r="B157" s="1" t="s">
        <v>96</v>
      </c>
      <c r="G157" s="1" t="s">
        <v>169</v>
      </c>
      <c r="H157"/>
      <c r="I157" s="299">
        <v>50</v>
      </c>
      <c r="K157" s="137">
        <f ca="1">+AVERAGE(K153,K155)</f>
        <v>0</v>
      </c>
      <c r="L157" s="137">
        <f ca="1">+AVERAGE(L153,L155)</f>
        <v>0</v>
      </c>
      <c r="M157" s="137">
        <f ca="1">+AVERAGE(M153,M155)</f>
        <v>0</v>
      </c>
      <c r="N157" s="137">
        <f ca="1">+AVERAGE(N153,N155)</f>
        <v>0</v>
      </c>
      <c r="O157" s="137">
        <f ca="1">+AVERAGE(O153,O155)</f>
        <v>0</v>
      </c>
    </row>
    <row r="158" spans="1:15" ht="12.95" customHeight="1" x14ac:dyDescent="0.2">
      <c r="B158" s="1" t="s">
        <v>97</v>
      </c>
      <c r="G158" s="1" t="s">
        <v>138</v>
      </c>
      <c r="I158" s="258">
        <v>0.05</v>
      </c>
      <c r="K158" s="160">
        <f ca="1">+IF($E$5=1,K157,0)*$I$158</f>
        <v>0</v>
      </c>
      <c r="L158" s="160">
        <f ca="1">+IF($E$5=1,L157,0)*$I$158</f>
        <v>0</v>
      </c>
      <c r="M158" s="160">
        <f ca="1">+IF($E$5=1,M157,0)*$I$158</f>
        <v>0</v>
      </c>
      <c r="N158" s="160">
        <f ca="1">+IF($E$5=1,N157,0)*$I$158</f>
        <v>0</v>
      </c>
      <c r="O158" s="160">
        <f ca="1">+IF($E$5=1,O157,0)*$I$158</f>
        <v>0</v>
      </c>
    </row>
    <row r="159" spans="1:15" ht="3" customHeight="1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ht="12.95" hidden="1" customHeight="1" outlineLevel="1" x14ac:dyDescent="0.2"/>
    <row r="161" spans="1:15" ht="12.95" hidden="1" customHeight="1" outlineLevel="1" x14ac:dyDescent="0.2">
      <c r="B161" s="1" t="s">
        <v>98</v>
      </c>
      <c r="K161" s="259">
        <f ca="1">+IF(K155&gt;$I$157,1,0)</f>
        <v>0</v>
      </c>
      <c r="L161" s="259">
        <f ca="1">+IF(L155&gt;$I$157,1,0)</f>
        <v>0</v>
      </c>
      <c r="M161" s="259">
        <f ca="1">+IF(M155&gt;$I$157,1,0)</f>
        <v>0</v>
      </c>
      <c r="N161" s="259">
        <f ca="1">+IF(N155&gt;$I$157,1,0)</f>
        <v>0</v>
      </c>
      <c r="O161" s="259">
        <f ca="1">+IF(O155&gt;$I$157,1,0)</f>
        <v>0</v>
      </c>
    </row>
    <row r="162" spans="1:15" ht="12.95" customHeight="1" collapsed="1" x14ac:dyDescent="0.2"/>
    <row r="163" spans="1:15" ht="12.95" customHeight="1" x14ac:dyDescent="0.2">
      <c r="B163" s="174" t="str">
        <f>+B127</f>
        <v>Long-Term Debt</v>
      </c>
      <c r="C163" s="28"/>
      <c r="D163" s="28"/>
      <c r="E163" s="28"/>
      <c r="F163" s="28"/>
      <c r="G163" s="28"/>
      <c r="H163" s="20"/>
      <c r="I163" s="28"/>
      <c r="J163" s="28"/>
      <c r="K163" s="28"/>
      <c r="L163" s="28"/>
      <c r="M163" s="28"/>
      <c r="N163" s="28"/>
      <c r="O163" s="28"/>
    </row>
    <row r="164" spans="1:15" ht="12.95" customHeight="1" x14ac:dyDescent="0.2">
      <c r="B164" s="1" t="s">
        <v>93</v>
      </c>
      <c r="K164" s="427">
        <v>50</v>
      </c>
      <c r="L164" s="160">
        <f>+K166</f>
        <v>50</v>
      </c>
      <c r="M164" s="160">
        <f>+L166</f>
        <v>50</v>
      </c>
      <c r="N164" s="160">
        <f>+M166</f>
        <v>50</v>
      </c>
      <c r="O164" s="160">
        <f>+N166</f>
        <v>50</v>
      </c>
    </row>
    <row r="165" spans="1:15" ht="12.95" customHeight="1" x14ac:dyDescent="0.2">
      <c r="B165" s="20" t="s">
        <v>99</v>
      </c>
      <c r="C165" s="20"/>
      <c r="D165" s="20"/>
      <c r="E165" s="20"/>
      <c r="F165" s="20"/>
      <c r="G165" s="20"/>
      <c r="H165" s="20"/>
      <c r="I165" s="20"/>
      <c r="J165" s="20"/>
      <c r="K165" s="138">
        <v>0</v>
      </c>
      <c r="L165" s="138">
        <v>0</v>
      </c>
      <c r="M165" s="138">
        <v>0</v>
      </c>
      <c r="N165" s="138">
        <v>0</v>
      </c>
      <c r="O165" s="138">
        <v>0</v>
      </c>
    </row>
    <row r="166" spans="1:15" ht="12.95" customHeight="1" x14ac:dyDescent="0.2">
      <c r="B166" s="92" t="s">
        <v>95</v>
      </c>
      <c r="C166" s="92"/>
      <c r="D166" s="92"/>
      <c r="E166" s="92"/>
      <c r="F166" s="92"/>
      <c r="G166" s="92"/>
      <c r="H166" s="93"/>
      <c r="I166" s="92"/>
      <c r="J166" s="92"/>
      <c r="K166" s="154">
        <f>SUM(K164:K165)</f>
        <v>50</v>
      </c>
      <c r="L166" s="154">
        <f>SUM(L164:L165)</f>
        <v>50</v>
      </c>
      <c r="M166" s="154">
        <f>SUM(M164:M165)</f>
        <v>50</v>
      </c>
      <c r="N166" s="154">
        <f>SUM(N164:N165)</f>
        <v>50</v>
      </c>
      <c r="O166" s="154">
        <f>SUM(O164:O165)</f>
        <v>50</v>
      </c>
    </row>
    <row r="167" spans="1:15" ht="12.95" customHeight="1" x14ac:dyDescent="0.2">
      <c r="B167" s="21"/>
      <c r="C167" s="21"/>
      <c r="D167" s="21"/>
      <c r="E167" s="21"/>
      <c r="F167" s="21"/>
      <c r="G167" s="21"/>
      <c r="I167" s="21"/>
      <c r="J167" s="21"/>
      <c r="K167" s="21"/>
      <c r="L167" s="21"/>
      <c r="M167" s="21"/>
      <c r="N167" s="21"/>
      <c r="O167" s="21"/>
    </row>
    <row r="168" spans="1:15" ht="12.95" customHeight="1" x14ac:dyDescent="0.2">
      <c r="B168" s="1" t="s">
        <v>96</v>
      </c>
      <c r="K168" s="160">
        <f>+AVERAGE(K164,K166)</f>
        <v>50</v>
      </c>
      <c r="L168" s="160">
        <f>+AVERAGE(L164,L166)</f>
        <v>50</v>
      </c>
      <c r="M168" s="160">
        <f>+AVERAGE(M164,M166)</f>
        <v>50</v>
      </c>
      <c r="N168" s="160">
        <f>+AVERAGE(N164,N166)</f>
        <v>50</v>
      </c>
      <c r="O168" s="160">
        <f>+AVERAGE(O164,O166)</f>
        <v>50</v>
      </c>
    </row>
    <row r="169" spans="1:15" ht="12.95" customHeight="1" x14ac:dyDescent="0.2">
      <c r="B169" s="1" t="s">
        <v>97</v>
      </c>
      <c r="G169" s="93" t="s">
        <v>138</v>
      </c>
      <c r="H169" s="93"/>
      <c r="I169" s="173">
        <v>0.05</v>
      </c>
      <c r="K169" s="160">
        <f>+IF($E$5=1,K168,0)*$I$169</f>
        <v>2.5</v>
      </c>
      <c r="L169" s="160">
        <f>+IF($E$5=1,L168,0)*$I$169</f>
        <v>2.5</v>
      </c>
      <c r="M169" s="160">
        <f>+IF($E$5=1,M168,0)*$I$169</f>
        <v>2.5</v>
      </c>
      <c r="N169" s="160">
        <f>+IF($E$5=1,N168,0)*$I$169</f>
        <v>2.5</v>
      </c>
      <c r="O169" s="160">
        <f>+IF($E$5=1,O168,0)*$I$169</f>
        <v>2.5</v>
      </c>
    </row>
    <row r="170" spans="1:15" ht="3" customHeight="1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2" spans="1:15" ht="12.95" customHeight="1" x14ac:dyDescent="0.2">
      <c r="A172" s="1" t="s">
        <v>0</v>
      </c>
      <c r="B172" s="26" t="s">
        <v>380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30"/>
    </row>
    <row r="174" spans="1:15" ht="12.95" customHeight="1" x14ac:dyDescent="0.35">
      <c r="K174" s="9" t="str">
        <f>+K150</f>
        <v>Fiscal Year Ended 12/31</v>
      </c>
      <c r="L174" s="10"/>
      <c r="M174" s="10"/>
      <c r="N174" s="10"/>
      <c r="O174" s="10"/>
    </row>
    <row r="175" spans="1:15" ht="12.95" customHeight="1" x14ac:dyDescent="0.2">
      <c r="B175" s="93"/>
      <c r="C175" s="93"/>
      <c r="D175" s="93"/>
      <c r="E175" s="93"/>
      <c r="F175" s="93"/>
      <c r="G175" s="93"/>
      <c r="H175" s="93"/>
      <c r="I175" s="93"/>
      <c r="J175" s="93"/>
      <c r="K175" s="191">
        <f>+$K$25</f>
        <v>2021</v>
      </c>
      <c r="L175" s="191">
        <f>+$L$25</f>
        <v>2022</v>
      </c>
      <c r="M175" s="191">
        <f>+$M$25</f>
        <v>2023</v>
      </c>
      <c r="N175" s="191">
        <f>+$N$25</f>
        <v>2024</v>
      </c>
      <c r="O175" s="191">
        <f>+$O$25</f>
        <v>2025</v>
      </c>
    </row>
    <row r="176" spans="1:15" s="93" customFormat="1" ht="12.95" customHeight="1" x14ac:dyDescent="0.2">
      <c r="B176" s="67" t="s">
        <v>93</v>
      </c>
      <c r="C176" s="67"/>
      <c r="D176" s="67"/>
      <c r="E176" s="67"/>
      <c r="F176" s="67"/>
      <c r="G176" s="67"/>
      <c r="H176" s="67"/>
      <c r="I176" s="67"/>
      <c r="J176" s="67"/>
      <c r="K176" s="426">
        <v>713.27823871970929</v>
      </c>
      <c r="L176" s="118">
        <f ca="1">+K178</f>
        <v>888.98799837942397</v>
      </c>
      <c r="M176" s="118">
        <f ca="1">+L178</f>
        <v>1082.8064429233511</v>
      </c>
      <c r="N176" s="118">
        <f ca="1">+M178</f>
        <v>1296.8900281181732</v>
      </c>
      <c r="O176" s="118">
        <f ca="1">+N178</f>
        <v>1533.6883124113303</v>
      </c>
    </row>
    <row r="177" spans="1:23" ht="12.95" customHeight="1" x14ac:dyDescent="0.2">
      <c r="B177" s="20" t="s">
        <v>381</v>
      </c>
      <c r="C177" s="20"/>
      <c r="D177" s="20"/>
      <c r="E177" s="20"/>
      <c r="F177" s="20"/>
      <c r="G177" s="20"/>
      <c r="H177" s="20"/>
      <c r="I177" s="20"/>
      <c r="J177" s="20"/>
      <c r="K177" s="140">
        <f ca="1">+K120</f>
        <v>175.70975965971462</v>
      </c>
      <c r="L177" s="140">
        <f ca="1">+L120</f>
        <v>193.81844454392726</v>
      </c>
      <c r="M177" s="140">
        <f ca="1">+M120</f>
        <v>214.08358519482206</v>
      </c>
      <c r="N177" s="140">
        <f ca="1">+N120</f>
        <v>236.7982842931572</v>
      </c>
      <c r="O177" s="140">
        <f ca="1">+O120</f>
        <v>262.29983437781613</v>
      </c>
    </row>
    <row r="178" spans="1:23" s="21" customFormat="1" ht="12.95" customHeight="1" x14ac:dyDescent="0.2">
      <c r="B178" s="16" t="s">
        <v>95</v>
      </c>
      <c r="C178" s="16"/>
      <c r="D178" s="16"/>
      <c r="E178" s="16"/>
      <c r="F178" s="16"/>
      <c r="G178" s="16"/>
      <c r="H178" s="16"/>
      <c r="I178" s="16"/>
      <c r="J178" s="16"/>
      <c r="K178" s="155">
        <f ca="1">SUM(K176:K177)</f>
        <v>888.98799837942397</v>
      </c>
      <c r="L178" s="155">
        <f ca="1">SUM(L176:L177)</f>
        <v>1082.8064429233511</v>
      </c>
      <c r="M178" s="155">
        <f ca="1">SUM(M176:M177)</f>
        <v>1296.8900281181732</v>
      </c>
      <c r="N178" s="155">
        <f ca="1">SUM(N176:N177)</f>
        <v>1533.6883124113303</v>
      </c>
      <c r="O178" s="155">
        <f ca="1">SUM(O176:O177)</f>
        <v>1795.9881467891464</v>
      </c>
    </row>
    <row r="180" spans="1:23" ht="12.95" customHeight="1" x14ac:dyDescent="0.2">
      <c r="B180" s="1" t="s">
        <v>96</v>
      </c>
      <c r="K180" s="137">
        <f ca="1">+AVERAGE(K176,K178)</f>
        <v>801.13311854956669</v>
      </c>
      <c r="L180" s="137">
        <f ca="1">+AVERAGE(L176,L178)</f>
        <v>985.89722065138756</v>
      </c>
      <c r="M180" s="137">
        <f ca="1">+AVERAGE(M176,M178)</f>
        <v>1189.848235520762</v>
      </c>
      <c r="N180" s="137">
        <f ca="1">+AVERAGE(N176,N178)</f>
        <v>1415.2891702647516</v>
      </c>
      <c r="O180" s="137">
        <f ca="1">+AVERAGE(O176,O178)</f>
        <v>1664.8382296002383</v>
      </c>
    </row>
    <row r="181" spans="1:23" ht="12.95" customHeight="1" x14ac:dyDescent="0.2">
      <c r="B181" s="20" t="s">
        <v>100</v>
      </c>
      <c r="C181" s="20"/>
      <c r="D181" s="20"/>
      <c r="E181" s="20"/>
      <c r="F181" s="20"/>
      <c r="G181" s="260" t="s">
        <v>101</v>
      </c>
      <c r="H181" s="20"/>
      <c r="I181" s="79">
        <v>0.01</v>
      </c>
      <c r="J181" s="20"/>
      <c r="K181" s="170">
        <f ca="1">+IF($E$5=1,K180,0)*$I$181</f>
        <v>8.011331185495667</v>
      </c>
      <c r="L181" s="170">
        <f ca="1">+IF($E$5=1,L180,0)*$I$181</f>
        <v>9.8589722065138758</v>
      </c>
      <c r="M181" s="170">
        <f ca="1">+IF($E$5=1,M180,0)*$I$181</f>
        <v>11.898482355207621</v>
      </c>
      <c r="N181" s="170">
        <f ca="1">+IF($E$5=1,N180,0)*$I$181</f>
        <v>14.152891702647517</v>
      </c>
      <c r="O181" s="170">
        <f ca="1">+IF($E$5=1,O180,0)*$I$181</f>
        <v>16.648382296002382</v>
      </c>
    </row>
    <row r="182" spans="1:23" ht="12.95" customHeight="1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1:23" ht="12.95" customHeight="1" x14ac:dyDescent="0.2">
      <c r="A183" s="1" t="s">
        <v>0</v>
      </c>
      <c r="B183" s="26" t="s">
        <v>139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30"/>
    </row>
    <row r="185" spans="1:23" ht="12.95" customHeight="1" x14ac:dyDescent="0.35">
      <c r="H185" s="98" t="str">
        <f>+$K$174</f>
        <v>Fiscal Year Ended 12/31</v>
      </c>
      <c r="I185" s="108"/>
      <c r="J185" s="98"/>
      <c r="K185" s="31"/>
      <c r="L185" s="99"/>
      <c r="M185" s="99"/>
      <c r="N185" s="99"/>
      <c r="O185" s="99"/>
    </row>
    <row r="186" spans="1:23" ht="12.95" customHeight="1" x14ac:dyDescent="0.2">
      <c r="H186" s="32">
        <f>+$H$25</f>
        <v>2018</v>
      </c>
      <c r="I186" s="32">
        <f>+$I$25</f>
        <v>2019</v>
      </c>
      <c r="J186" s="33">
        <f>+$J$25</f>
        <v>2020</v>
      </c>
      <c r="K186" s="11">
        <f>+$K$25</f>
        <v>2021</v>
      </c>
      <c r="L186" s="11">
        <f>+$L$25</f>
        <v>2022</v>
      </c>
      <c r="M186" s="11">
        <f>+$M$25</f>
        <v>2023</v>
      </c>
      <c r="N186" s="11">
        <f>+$N$25</f>
        <v>2024</v>
      </c>
      <c r="O186" s="11">
        <f>+$O$25</f>
        <v>2025</v>
      </c>
    </row>
    <row r="187" spans="1:23" ht="12.95" customHeight="1" x14ac:dyDescent="0.2">
      <c r="B187" s="1" t="s">
        <v>39</v>
      </c>
      <c r="H187" s="17">
        <f t="shared" ref="H187:O187" si="19">+H35</f>
        <v>144.38336269074406</v>
      </c>
      <c r="I187" s="17">
        <f t="shared" si="19"/>
        <v>158.09058392211767</v>
      </c>
      <c r="J187" s="213">
        <f t="shared" si="19"/>
        <v>173.73619092811771</v>
      </c>
      <c r="K187" s="17">
        <f t="shared" ca="1" si="19"/>
        <v>191.1966601025247</v>
      </c>
      <c r="L187" s="17">
        <f t="shared" ca="1" si="19"/>
        <v>210.71493426498742</v>
      </c>
      <c r="M187" s="17">
        <f t="shared" ca="1" si="19"/>
        <v>232.56877036597967</v>
      </c>
      <c r="N187" s="17">
        <f t="shared" ca="1" si="19"/>
        <v>257.07727125771856</v>
      </c>
      <c r="O187" s="17">
        <f t="shared" ca="1" si="19"/>
        <v>284.60779457421415</v>
      </c>
    </row>
    <row r="188" spans="1:23" ht="12.95" customHeight="1" x14ac:dyDescent="0.25">
      <c r="J188" s="192"/>
      <c r="Q188"/>
      <c r="R188"/>
      <c r="S188"/>
      <c r="T188"/>
    </row>
    <row r="189" spans="1:23" ht="12.95" customHeight="1" x14ac:dyDescent="0.25">
      <c r="B189" s="255" t="s">
        <v>158</v>
      </c>
      <c r="J189" s="192"/>
      <c r="Q189"/>
      <c r="R189"/>
      <c r="S189"/>
      <c r="T189"/>
    </row>
    <row r="190" spans="1:23" ht="12.95" customHeight="1" x14ac:dyDescent="0.25">
      <c r="B190" s="1" t="s">
        <v>140</v>
      </c>
      <c r="H190" s="135">
        <f>+H37</f>
        <v>100.91013022450269</v>
      </c>
      <c r="I190" s="135">
        <f>+I37</f>
        <v>101.22532805211092</v>
      </c>
      <c r="J190" s="236">
        <f>+J37</f>
        <v>101.5551580431645</v>
      </c>
      <c r="K190" s="23">
        <f ca="1">+K209</f>
        <v>101.89686926219814</v>
      </c>
      <c r="L190" s="23">
        <f ca="1">+L209</f>
        <v>102.25037131335471</v>
      </c>
      <c r="M190" s="23">
        <f ca="1">+M209</f>
        <v>102.61458004154703</v>
      </c>
      <c r="N190" s="23">
        <f ca="1">+N209</f>
        <v>102.9884647971969</v>
      </c>
      <c r="O190" s="23">
        <f ca="1">+O209</f>
        <v>103.37104759455143</v>
      </c>
      <c r="Q190"/>
      <c r="R190"/>
      <c r="S190"/>
      <c r="T190"/>
      <c r="U190" s="23"/>
      <c r="V190" s="23"/>
      <c r="W190"/>
    </row>
    <row r="191" spans="1:23" ht="12.95" customHeight="1" x14ac:dyDescent="0.25">
      <c r="B191" s="93" t="s">
        <v>141</v>
      </c>
      <c r="C191" s="93"/>
      <c r="D191" s="93"/>
      <c r="E191" s="93"/>
      <c r="F191" s="93"/>
      <c r="G191" s="93"/>
      <c r="H191" s="136">
        <f>+H192-H190</f>
        <v>5</v>
      </c>
      <c r="I191" s="136">
        <f>+I192-I190</f>
        <v>5</v>
      </c>
      <c r="J191" s="237">
        <f>+J192-J190</f>
        <v>5</v>
      </c>
      <c r="K191" s="111">
        <f>+J191</f>
        <v>5</v>
      </c>
      <c r="L191" s="111">
        <f>+K191</f>
        <v>5</v>
      </c>
      <c r="M191" s="111">
        <f>+L191</f>
        <v>5</v>
      </c>
      <c r="N191" s="111">
        <f>+M191</f>
        <v>5</v>
      </c>
      <c r="O191" s="111">
        <f>+N191</f>
        <v>5</v>
      </c>
      <c r="Q191"/>
      <c r="R191"/>
      <c r="S191"/>
      <c r="T191"/>
      <c r="U191" s="23"/>
      <c r="V191" s="23"/>
      <c r="W191"/>
    </row>
    <row r="192" spans="1:23" ht="12.95" customHeight="1" x14ac:dyDescent="0.25">
      <c r="B192" s="183" t="s">
        <v>107</v>
      </c>
      <c r="C192" s="183"/>
      <c r="D192" s="183"/>
      <c r="E192" s="183"/>
      <c r="F192" s="183"/>
      <c r="G192" s="183"/>
      <c r="H192" s="238">
        <f>+H40</f>
        <v>105.91013022450269</v>
      </c>
      <c r="I192" s="238">
        <f>+I40</f>
        <v>106.22532805211092</v>
      </c>
      <c r="J192" s="239">
        <f>+J40</f>
        <v>106.5551580431645</v>
      </c>
      <c r="K192" s="187">
        <f ca="1">SUM(K190:K191)</f>
        <v>106.89686926219814</v>
      </c>
      <c r="L192" s="187">
        <f ca="1">SUM(L190:L191)</f>
        <v>107.25037131335471</v>
      </c>
      <c r="M192" s="187">
        <f ca="1">SUM(M190:M191)</f>
        <v>107.61458004154703</v>
      </c>
      <c r="N192" s="187">
        <f ca="1">SUM(N190:N191)</f>
        <v>107.9884647971969</v>
      </c>
      <c r="O192" s="187">
        <f ca="1">SUM(O190:O191)</f>
        <v>108.37104759455143</v>
      </c>
      <c r="Q192"/>
      <c r="R192"/>
      <c r="S192"/>
      <c r="T192"/>
      <c r="U192" s="23"/>
      <c r="V192" s="23"/>
      <c r="W192"/>
    </row>
    <row r="193" spans="2:23" ht="12.95" customHeight="1" x14ac:dyDescent="0.25">
      <c r="B193" s="92"/>
      <c r="C193" s="92"/>
      <c r="D193" s="92"/>
      <c r="E193" s="92"/>
      <c r="F193" s="92"/>
      <c r="G193" s="92"/>
      <c r="H193" s="240"/>
      <c r="I193" s="240"/>
      <c r="J193" s="241"/>
      <c r="K193" s="92"/>
      <c r="L193" s="92"/>
      <c r="M193" s="92"/>
      <c r="N193" s="92"/>
      <c r="O193" s="92"/>
      <c r="Q193"/>
      <c r="R193"/>
      <c r="S193"/>
      <c r="T193"/>
      <c r="U193" s="23"/>
      <c r="V193" s="23"/>
      <c r="W193"/>
    </row>
    <row r="194" spans="2:23" ht="12.95" customHeight="1" x14ac:dyDescent="0.25">
      <c r="B194" s="93" t="s">
        <v>143</v>
      </c>
      <c r="C194" s="93"/>
      <c r="D194" s="93"/>
      <c r="E194" s="93"/>
      <c r="F194" s="93"/>
      <c r="G194" s="93"/>
      <c r="H194" s="136"/>
      <c r="I194" s="136"/>
      <c r="J194" s="237"/>
      <c r="K194" s="111">
        <f ca="1">+K84+K85</f>
        <v>11.111880686976447</v>
      </c>
      <c r="L194" s="111">
        <f ca="1">+L84+L85</f>
        <v>11.945271738499681</v>
      </c>
      <c r="M194" s="111">
        <f ca="1">+M84+M85</f>
        <v>12.871030298233407</v>
      </c>
      <c r="N194" s="111">
        <f ca="1">+N84+N85</f>
        <v>13.900712722092081</v>
      </c>
      <c r="O194" s="111">
        <f ca="1">+O84+O85</f>
        <v>15.047521521664677</v>
      </c>
      <c r="Q194"/>
      <c r="R194"/>
      <c r="S194"/>
      <c r="T194"/>
      <c r="U194" s="23"/>
      <c r="V194" s="23"/>
      <c r="W194"/>
    </row>
    <row r="195" spans="2:23" ht="12.95" customHeight="1" x14ac:dyDescent="0.25">
      <c r="B195" s="93" t="s">
        <v>142</v>
      </c>
      <c r="C195" s="93"/>
      <c r="D195" s="93"/>
      <c r="E195" s="93"/>
      <c r="F195" s="93"/>
      <c r="G195" s="93"/>
      <c r="H195" s="136"/>
      <c r="I195" s="136"/>
      <c r="J195" s="237"/>
      <c r="K195" s="111">
        <f>-K87</f>
        <v>-5</v>
      </c>
      <c r="L195" s="111">
        <f>-L87</f>
        <v>-5</v>
      </c>
      <c r="M195" s="111">
        <f>-M87</f>
        <v>-5</v>
      </c>
      <c r="N195" s="111">
        <f>-N87</f>
        <v>-5</v>
      </c>
      <c r="O195" s="111">
        <f>-O87</f>
        <v>-5</v>
      </c>
      <c r="Q195"/>
      <c r="R195"/>
      <c r="S195"/>
      <c r="T195"/>
      <c r="U195" s="23"/>
      <c r="V195" s="23"/>
      <c r="W195"/>
    </row>
    <row r="196" spans="2:23" ht="12.95" customHeight="1" x14ac:dyDescent="0.25">
      <c r="B196" s="183" t="s">
        <v>144</v>
      </c>
      <c r="C196" s="183"/>
      <c r="D196" s="183"/>
      <c r="E196" s="183"/>
      <c r="F196" s="183"/>
      <c r="G196" s="183"/>
      <c r="H196" s="149"/>
      <c r="I196" s="149"/>
      <c r="J196" s="242"/>
      <c r="K196" s="184">
        <f ca="1">SUM(K194:K195)</f>
        <v>6.1118806869764466</v>
      </c>
      <c r="L196" s="184">
        <f ca="1">SUM(L194:L195)</f>
        <v>6.9452717384996809</v>
      </c>
      <c r="M196" s="184">
        <f ca="1">SUM(M194:M195)</f>
        <v>7.8710302982334071</v>
      </c>
      <c r="N196" s="184">
        <f ca="1">SUM(N194:N195)</f>
        <v>8.9007127220920808</v>
      </c>
      <c r="O196" s="184">
        <f ca="1">SUM(O194:O195)</f>
        <v>10.047521521664677</v>
      </c>
      <c r="Q196"/>
      <c r="R196"/>
      <c r="S196"/>
      <c r="T196"/>
      <c r="U196" s="23"/>
      <c r="V196" s="23"/>
      <c r="W196"/>
    </row>
    <row r="197" spans="2:23" ht="12.95" customHeight="1" x14ac:dyDescent="0.25">
      <c r="B197" s="92"/>
      <c r="C197" s="92"/>
      <c r="D197" s="92"/>
      <c r="E197" s="92"/>
      <c r="F197" s="92"/>
      <c r="G197" s="92"/>
      <c r="H197" s="240"/>
      <c r="I197" s="240"/>
      <c r="J197" s="241"/>
      <c r="K197" s="92"/>
      <c r="L197" s="92"/>
      <c r="M197" s="92"/>
      <c r="N197" s="92"/>
      <c r="O197" s="92"/>
      <c r="Q197"/>
      <c r="R197"/>
      <c r="S197"/>
      <c r="T197"/>
      <c r="U197" s="23"/>
      <c r="V197" s="23"/>
      <c r="W197"/>
    </row>
    <row r="198" spans="2:23" ht="12.95" customHeight="1" x14ac:dyDescent="0.25">
      <c r="B198" s="93" t="s">
        <v>145</v>
      </c>
      <c r="C198" s="93"/>
      <c r="D198" s="93"/>
      <c r="E198" s="93"/>
      <c r="F198" s="93"/>
      <c r="G198" s="93"/>
      <c r="H198" s="136"/>
      <c r="I198" s="136"/>
      <c r="J198" s="237"/>
      <c r="K198" s="111">
        <f t="shared" ref="K198:O199" ca="1" si="20">+K194/K$204</f>
        <v>0.62125792203275587</v>
      </c>
      <c r="L198" s="111">
        <f t="shared" ca="1" si="20"/>
        <v>0.60799321036996257</v>
      </c>
      <c r="M198" s="111">
        <f t="shared" ca="1" si="20"/>
        <v>0.59556899132970686</v>
      </c>
      <c r="N198" s="111">
        <f t="shared" ca="1" si="20"/>
        <v>0.58391555167920139</v>
      </c>
      <c r="O198" s="111">
        <f t="shared" ca="1" si="20"/>
        <v>0.57296944968943608</v>
      </c>
      <c r="Q198"/>
      <c r="R198"/>
      <c r="S198"/>
      <c r="T198"/>
      <c r="U198" s="23"/>
      <c r="V198" s="23"/>
      <c r="W198"/>
    </row>
    <row r="199" spans="2:23" ht="12.95" customHeight="1" x14ac:dyDescent="0.25">
      <c r="B199" s="93" t="s">
        <v>146</v>
      </c>
      <c r="C199" s="93"/>
      <c r="D199" s="93"/>
      <c r="E199" s="93"/>
      <c r="F199" s="93"/>
      <c r="G199" s="93"/>
      <c r="H199" s="136"/>
      <c r="I199" s="136"/>
      <c r="J199" s="237"/>
      <c r="K199" s="111">
        <f t="shared" si="20"/>
        <v>-0.27954670299911255</v>
      </c>
      <c r="L199" s="111">
        <f t="shared" si="20"/>
        <v>-0.25449115921339688</v>
      </c>
      <c r="M199" s="111">
        <f t="shared" si="20"/>
        <v>-0.23136026313738486</v>
      </c>
      <c r="N199" s="111">
        <f t="shared" si="20"/>
        <v>-0.210030796029328</v>
      </c>
      <c r="O199" s="111">
        <f t="shared" si="20"/>
        <v>-0.19038665233490545</v>
      </c>
      <c r="Q199"/>
      <c r="R199"/>
      <c r="S199"/>
      <c r="T199"/>
      <c r="U199" s="23"/>
      <c r="V199" s="23"/>
      <c r="W199"/>
    </row>
    <row r="200" spans="2:23" ht="12.95" customHeight="1" x14ac:dyDescent="0.25">
      <c r="B200" s="183" t="s">
        <v>144</v>
      </c>
      <c r="C200" s="183"/>
      <c r="D200" s="183"/>
      <c r="E200" s="183"/>
      <c r="F200" s="183"/>
      <c r="G200" s="183"/>
      <c r="H200" s="238"/>
      <c r="I200" s="238"/>
      <c r="J200" s="239"/>
      <c r="K200" s="187">
        <f ca="1">SUM(K198:K199)</f>
        <v>0.34171121903364332</v>
      </c>
      <c r="L200" s="187">
        <f ca="1">SUM(L198:L199)</f>
        <v>0.35350205115656569</v>
      </c>
      <c r="M200" s="187">
        <f ca="1">SUM(M198:M199)</f>
        <v>0.36420872819232197</v>
      </c>
      <c r="N200" s="187">
        <f ca="1">SUM(N198:N199)</f>
        <v>0.37388475564987339</v>
      </c>
      <c r="O200" s="187">
        <f ca="1">SUM(O198:O199)</f>
        <v>0.3825827973545306</v>
      </c>
      <c r="Q200"/>
      <c r="R200"/>
      <c r="S200"/>
      <c r="T200"/>
      <c r="U200" s="23"/>
      <c r="V200" s="23"/>
      <c r="W200"/>
    </row>
    <row r="201" spans="2:23" ht="12.95" customHeight="1" x14ac:dyDescent="0.25">
      <c r="B201" s="92"/>
      <c r="C201" s="92"/>
      <c r="D201" s="92"/>
      <c r="E201" s="92"/>
      <c r="F201" s="92"/>
      <c r="G201" s="92"/>
      <c r="H201" s="240"/>
      <c r="I201" s="240"/>
      <c r="J201" s="241"/>
      <c r="K201" s="92"/>
      <c r="L201" s="92"/>
      <c r="M201" s="92"/>
      <c r="N201" s="92"/>
      <c r="O201" s="92"/>
      <c r="Q201"/>
      <c r="R201"/>
      <c r="S201"/>
      <c r="T201"/>
      <c r="U201" s="23"/>
      <c r="V201" s="23"/>
      <c r="W201"/>
    </row>
    <row r="202" spans="2:23" ht="12.95" customHeight="1" x14ac:dyDescent="0.25">
      <c r="B202" s="93" t="s">
        <v>108</v>
      </c>
      <c r="C202" s="93"/>
      <c r="D202" s="93"/>
      <c r="E202" s="93"/>
      <c r="F202" s="93"/>
      <c r="G202" s="93"/>
      <c r="H202" s="243"/>
      <c r="I202" s="243"/>
      <c r="J202" s="244"/>
      <c r="K202" s="252">
        <v>1.7886098982236514</v>
      </c>
      <c r="L202" s="252">
        <v>1.9647047918892071</v>
      </c>
      <c r="M202" s="252">
        <v>2.1611317052448769</v>
      </c>
      <c r="N202" s="252">
        <v>2.3806032708183502</v>
      </c>
      <c r="O202" s="252">
        <v>2.6262345278305528</v>
      </c>
      <c r="Q202"/>
      <c r="R202"/>
      <c r="S202"/>
      <c r="T202"/>
      <c r="U202" s="23"/>
      <c r="V202" s="23"/>
      <c r="W202"/>
    </row>
    <row r="203" spans="2:23" ht="12.95" customHeight="1" x14ac:dyDescent="0.25">
      <c r="B203" s="93" t="s">
        <v>147</v>
      </c>
      <c r="C203" s="93"/>
      <c r="D203" s="93"/>
      <c r="E203" s="93"/>
      <c r="F203" s="93"/>
      <c r="G203" s="93"/>
      <c r="H203" s="245"/>
      <c r="I203" s="245"/>
      <c r="J203" s="246"/>
      <c r="K203" s="112">
        <v>10</v>
      </c>
      <c r="L203" s="185">
        <f>+K203</f>
        <v>10</v>
      </c>
      <c r="M203" s="185">
        <f>+L203</f>
        <v>10</v>
      </c>
      <c r="N203" s="185">
        <f>+M203</f>
        <v>10</v>
      </c>
      <c r="O203" s="185">
        <f>+N203</f>
        <v>10</v>
      </c>
      <c r="Q203"/>
      <c r="R203"/>
      <c r="S203"/>
      <c r="T203"/>
      <c r="U203" s="23"/>
      <c r="V203" s="23"/>
      <c r="W203"/>
    </row>
    <row r="204" spans="2:23" s="21" customFormat="1" ht="12.95" customHeight="1" x14ac:dyDescent="0.25">
      <c r="B204" s="183" t="s">
        <v>148</v>
      </c>
      <c r="C204" s="183"/>
      <c r="D204" s="183"/>
      <c r="E204" s="183"/>
      <c r="F204" s="183"/>
      <c r="G204" s="183"/>
      <c r="H204" s="247"/>
      <c r="I204" s="247"/>
      <c r="J204" s="248"/>
      <c r="K204" s="186">
        <f>+K202*K203</f>
        <v>17.886098982236515</v>
      </c>
      <c r="L204" s="186">
        <f>+L202*L203</f>
        <v>19.647047918892071</v>
      </c>
      <c r="M204" s="186">
        <f>+M202*M203</f>
        <v>21.611317052448769</v>
      </c>
      <c r="N204" s="186">
        <f>+N202*N203</f>
        <v>23.806032708183501</v>
      </c>
      <c r="O204" s="186">
        <f>+O202*O203</f>
        <v>26.262345278305528</v>
      </c>
      <c r="Q204"/>
      <c r="R204"/>
      <c r="S204"/>
      <c r="T204"/>
      <c r="U204" s="23"/>
      <c r="V204" s="23"/>
      <c r="W204"/>
    </row>
    <row r="205" spans="2:23" s="21" customFormat="1" ht="12.95" customHeight="1" x14ac:dyDescent="0.25">
      <c r="B205" s="92"/>
      <c r="C205" s="92"/>
      <c r="D205" s="92"/>
      <c r="E205" s="92"/>
      <c r="F205" s="92"/>
      <c r="G205" s="92"/>
      <c r="H205" s="249"/>
      <c r="I205" s="249"/>
      <c r="J205" s="250"/>
      <c r="K205" s="188"/>
      <c r="L205" s="188"/>
      <c r="M205" s="188"/>
      <c r="N205" s="188"/>
      <c r="O205" s="188"/>
      <c r="Q205"/>
      <c r="R205"/>
      <c r="S205"/>
      <c r="T205"/>
      <c r="U205" s="23"/>
      <c r="V205" s="23"/>
      <c r="W205"/>
    </row>
    <row r="206" spans="2:23" s="21" customFormat="1" ht="12.95" customHeight="1" x14ac:dyDescent="0.25">
      <c r="B206" s="254" t="s">
        <v>157</v>
      </c>
      <c r="C206" s="92"/>
      <c r="D206" s="92"/>
      <c r="E206" s="92"/>
      <c r="F206" s="92"/>
      <c r="G206" s="92"/>
      <c r="H206" s="249"/>
      <c r="I206" s="249"/>
      <c r="J206" s="250"/>
      <c r="K206" s="188"/>
      <c r="L206" s="188"/>
      <c r="M206" s="188"/>
      <c r="N206" s="188"/>
      <c r="O206" s="188"/>
      <c r="Q206"/>
      <c r="R206"/>
      <c r="S206"/>
      <c r="T206"/>
      <c r="U206" s="23"/>
      <c r="V206" s="23"/>
      <c r="W206"/>
    </row>
    <row r="207" spans="2:23" s="21" customFormat="1" ht="12.95" customHeight="1" x14ac:dyDescent="0.25">
      <c r="B207" s="93" t="s">
        <v>149</v>
      </c>
      <c r="C207" s="92"/>
      <c r="D207" s="92"/>
      <c r="E207" s="92"/>
      <c r="F207" s="92"/>
      <c r="G207" s="92"/>
      <c r="H207" s="226"/>
      <c r="I207" s="136"/>
      <c r="J207" s="237"/>
      <c r="K207" s="111">
        <f>+J190</f>
        <v>101.5551580431645</v>
      </c>
      <c r="L207" s="111">
        <f ca="1">+K209</f>
        <v>101.89686926219814</v>
      </c>
      <c r="M207" s="111">
        <f ca="1">+L209</f>
        <v>102.25037131335471</v>
      </c>
      <c r="N207" s="111">
        <f ca="1">+M209</f>
        <v>102.61458004154703</v>
      </c>
      <c r="O207" s="111">
        <f ca="1">+N209</f>
        <v>102.9884647971969</v>
      </c>
      <c r="Q207"/>
      <c r="R207"/>
      <c r="S207"/>
      <c r="T207"/>
      <c r="U207" s="23"/>
      <c r="V207" s="23"/>
      <c r="W207"/>
    </row>
    <row r="208" spans="2:23" ht="12.95" customHeight="1" x14ac:dyDescent="0.25">
      <c r="B208" s="20" t="str">
        <f>+B200</f>
        <v>Net Shares Issued / (Repurchased)</v>
      </c>
      <c r="C208" s="20"/>
      <c r="D208" s="20"/>
      <c r="E208" s="20"/>
      <c r="F208" s="20"/>
      <c r="G208" s="20"/>
      <c r="H208" s="140"/>
      <c r="I208" s="140"/>
      <c r="J208" s="122"/>
      <c r="K208" s="77">
        <f ca="1">+K200</f>
        <v>0.34171121903364332</v>
      </c>
      <c r="L208" s="77">
        <f ca="1">+L200</f>
        <v>0.35350205115656569</v>
      </c>
      <c r="M208" s="77">
        <f ca="1">+M200</f>
        <v>0.36420872819232197</v>
      </c>
      <c r="N208" s="77">
        <f ca="1">+N200</f>
        <v>0.37388475564987339</v>
      </c>
      <c r="O208" s="77">
        <f ca="1">+O200</f>
        <v>0.3825827973545306</v>
      </c>
      <c r="Q208"/>
      <c r="R208"/>
      <c r="S208"/>
      <c r="T208"/>
      <c r="U208" s="23"/>
      <c r="V208" s="23"/>
      <c r="W208"/>
    </row>
    <row r="209" spans="2:23" s="21" customFormat="1" ht="12.95" customHeight="1" x14ac:dyDescent="0.25">
      <c r="B209" s="92" t="s">
        <v>150</v>
      </c>
      <c r="C209" s="92"/>
      <c r="D209" s="92"/>
      <c r="E209" s="92"/>
      <c r="F209" s="92"/>
      <c r="G209" s="92"/>
      <c r="H209" s="142"/>
      <c r="I209" s="142"/>
      <c r="J209" s="141"/>
      <c r="K209" s="189">
        <f ca="1">SUM(K207:K208)</f>
        <v>101.89686926219814</v>
      </c>
      <c r="L209" s="189">
        <f ca="1">SUM(L207:L208)</f>
        <v>102.25037131335471</v>
      </c>
      <c r="M209" s="189">
        <f ca="1">SUM(M207:M208)</f>
        <v>102.61458004154703</v>
      </c>
      <c r="N209" s="189">
        <f ca="1">SUM(N207:N208)</f>
        <v>102.9884647971969</v>
      </c>
      <c r="O209" s="189">
        <f ca="1">SUM(O207:O208)</f>
        <v>103.37104759455143</v>
      </c>
      <c r="Q209"/>
      <c r="R209"/>
      <c r="S209"/>
      <c r="T209"/>
      <c r="U209" s="23"/>
      <c r="V209" s="23"/>
      <c r="W209"/>
    </row>
    <row r="210" spans="2:23" ht="12.95" customHeight="1" x14ac:dyDescent="0.25">
      <c r="Q210"/>
      <c r="R210"/>
      <c r="S210"/>
      <c r="T210"/>
    </row>
    <row r="211" spans="2:23" ht="12.95" customHeight="1" x14ac:dyDescent="0.25">
      <c r="B211" s="26" t="s">
        <v>311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30"/>
      <c r="Q211"/>
      <c r="R211"/>
      <c r="S211"/>
      <c r="T211"/>
    </row>
    <row r="212" spans="2:23" ht="12.95" customHeight="1" x14ac:dyDescent="0.2">
      <c r="H212" s="23"/>
      <c r="I212" s="23"/>
      <c r="J212" s="23"/>
      <c r="P212" s="93"/>
      <c r="Q212" s="93"/>
      <c r="R212" s="93"/>
    </row>
    <row r="213" spans="2:23" ht="12.95" customHeight="1" x14ac:dyDescent="0.2">
      <c r="B213" s="362" t="s">
        <v>360</v>
      </c>
      <c r="C213" s="363"/>
      <c r="D213" s="363"/>
      <c r="E213" s="363"/>
      <c r="F213" s="363"/>
      <c r="G213" s="363"/>
      <c r="H213" s="363"/>
      <c r="I213" s="363"/>
      <c r="J213" s="363"/>
      <c r="K213" s="363"/>
      <c r="L213" s="363"/>
      <c r="M213" s="363"/>
      <c r="N213" s="363"/>
      <c r="O213" s="363"/>
      <c r="P213" s="367"/>
      <c r="Q213" s="367"/>
      <c r="R213" s="93"/>
    </row>
    <row r="214" spans="2:23" ht="12.95" customHeight="1" x14ac:dyDescent="0.2">
      <c r="B214" s="81" t="s">
        <v>332</v>
      </c>
      <c r="C214" s="81"/>
      <c r="D214" s="81"/>
      <c r="E214" s="81"/>
      <c r="F214" s="81"/>
      <c r="G214" s="81"/>
      <c r="H214" s="81"/>
      <c r="I214" s="81"/>
      <c r="J214" s="81"/>
      <c r="K214" s="364">
        <v>8.2500000000000059E-2</v>
      </c>
      <c r="L214" s="364">
        <v>8.5000000000000062E-2</v>
      </c>
      <c r="M214" s="364">
        <v>8.7500000000000064E-2</v>
      </c>
      <c r="N214" s="364">
        <v>9.0000000000000066E-2</v>
      </c>
      <c r="O214" s="364">
        <v>9.2500000000000068E-2</v>
      </c>
      <c r="P214" s="93"/>
      <c r="Q214" s="93"/>
      <c r="R214" s="93"/>
    </row>
    <row r="215" spans="2:23" ht="12.95" customHeight="1" x14ac:dyDescent="0.2">
      <c r="B215" s="81" t="s">
        <v>104</v>
      </c>
      <c r="C215" s="81"/>
      <c r="D215" s="81"/>
      <c r="E215" s="81"/>
      <c r="F215" s="81"/>
      <c r="G215" s="81"/>
      <c r="H215" s="81"/>
      <c r="I215" s="81"/>
      <c r="J215" s="81"/>
      <c r="K215" s="364">
        <v>7.2500000000000064E-2</v>
      </c>
      <c r="L215" s="364">
        <v>7.5000000000000067E-2</v>
      </c>
      <c r="M215" s="364">
        <v>7.7500000000000069E-2</v>
      </c>
      <c r="N215" s="364">
        <v>8.0000000000000071E-2</v>
      </c>
      <c r="O215" s="364">
        <v>8.2500000000000073E-2</v>
      </c>
      <c r="P215" s="93"/>
      <c r="Q215" s="93"/>
      <c r="R215" s="93"/>
    </row>
    <row r="216" spans="2:23" ht="12.95" customHeight="1" x14ac:dyDescent="0.2">
      <c r="B216" s="363" t="s">
        <v>333</v>
      </c>
      <c r="C216" s="363"/>
      <c r="D216" s="363"/>
      <c r="E216" s="363"/>
      <c r="F216" s="363"/>
      <c r="G216" s="363"/>
      <c r="H216" s="363"/>
      <c r="I216" s="363"/>
      <c r="J216" s="363"/>
      <c r="K216" s="365">
        <v>6.2500000000000069E-2</v>
      </c>
      <c r="L216" s="365">
        <v>6.5000000000000072E-2</v>
      </c>
      <c r="M216" s="365">
        <v>6.7500000000000074E-2</v>
      </c>
      <c r="N216" s="365">
        <v>7.0000000000000076E-2</v>
      </c>
      <c r="O216" s="365">
        <v>7.2500000000000078E-2</v>
      </c>
      <c r="P216" s="93"/>
      <c r="Q216" s="93"/>
      <c r="R216" s="93"/>
    </row>
    <row r="217" spans="2:23" ht="12.95" customHeight="1" x14ac:dyDescent="0.2">
      <c r="B217" s="362" t="str">
        <f ca="1">+OFFSET(B213,$D$10,0)</f>
        <v>Mid (Base) Case</v>
      </c>
      <c r="C217" s="363"/>
      <c r="D217" s="363"/>
      <c r="E217" s="363"/>
      <c r="F217" s="363"/>
      <c r="G217" s="363"/>
      <c r="H217" s="363"/>
      <c r="I217" s="363"/>
      <c r="J217" s="363"/>
      <c r="K217" s="368">
        <f ca="1">+OFFSET(K213,$D$10,0)</f>
        <v>7.2500000000000064E-2</v>
      </c>
      <c r="L217" s="368">
        <f ca="1">+OFFSET(L213,$D$10,0)</f>
        <v>7.5000000000000067E-2</v>
      </c>
      <c r="M217" s="368">
        <f ca="1">+OFFSET(M213,$D$10,0)</f>
        <v>7.7500000000000069E-2</v>
      </c>
      <c r="N217" s="368">
        <f ca="1">+OFFSET(N213,$D$10,0)</f>
        <v>8.0000000000000071E-2</v>
      </c>
      <c r="O217" s="368">
        <f ca="1">+OFFSET(O213,$D$10,0)</f>
        <v>8.2500000000000073E-2</v>
      </c>
      <c r="P217" s="93"/>
      <c r="Q217" s="93"/>
      <c r="R217" s="93"/>
    </row>
    <row r="218" spans="2:23" ht="12.95" customHeight="1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2:23" ht="12.95" customHeight="1" x14ac:dyDescent="0.2">
      <c r="B219" s="362" t="s">
        <v>45</v>
      </c>
      <c r="C219" s="363"/>
      <c r="D219" s="363"/>
      <c r="E219" s="363"/>
      <c r="F219" s="363"/>
      <c r="G219" s="363"/>
      <c r="H219" s="363"/>
      <c r="I219" s="363"/>
      <c r="J219" s="363"/>
      <c r="K219" s="363"/>
      <c r="L219" s="363"/>
      <c r="M219" s="363"/>
      <c r="N219" s="363"/>
      <c r="O219" s="363"/>
    </row>
    <row r="220" spans="2:23" ht="12.95" customHeight="1" x14ac:dyDescent="0.2">
      <c r="B220" s="81" t="s">
        <v>332</v>
      </c>
      <c r="C220" s="81"/>
      <c r="D220" s="81"/>
      <c r="E220" s="81"/>
      <c r="F220" s="81"/>
      <c r="G220" s="81"/>
      <c r="H220" s="81"/>
      <c r="I220" s="81"/>
      <c r="J220" s="81"/>
      <c r="K220" s="364">
        <v>0.45150000000000001</v>
      </c>
      <c r="L220" s="364">
        <v>0.45350000000000001</v>
      </c>
      <c r="M220" s="364">
        <v>0.45550000000000002</v>
      </c>
      <c r="N220" s="364">
        <v>0.45750000000000002</v>
      </c>
      <c r="O220" s="364">
        <v>0.45950000000000002</v>
      </c>
    </row>
    <row r="221" spans="2:23" ht="12.95" customHeight="1" x14ac:dyDescent="0.2">
      <c r="B221" s="81" t="s">
        <v>104</v>
      </c>
      <c r="C221" s="81"/>
      <c r="D221" s="81"/>
      <c r="E221" s="81"/>
      <c r="F221" s="81"/>
      <c r="G221" s="81"/>
      <c r="H221" s="81"/>
      <c r="I221" s="81"/>
      <c r="J221" s="81"/>
      <c r="K221" s="364">
        <v>0.44400000000000001</v>
      </c>
      <c r="L221" s="364">
        <v>0.44600000000000001</v>
      </c>
      <c r="M221" s="364">
        <v>0.44800000000000001</v>
      </c>
      <c r="N221" s="364">
        <v>0.45</v>
      </c>
      <c r="O221" s="364">
        <v>0.45200000000000001</v>
      </c>
    </row>
    <row r="222" spans="2:23" ht="12.95" customHeight="1" x14ac:dyDescent="0.2">
      <c r="B222" s="363" t="s">
        <v>333</v>
      </c>
      <c r="C222" s="363"/>
      <c r="D222" s="363"/>
      <c r="E222" s="363"/>
      <c r="F222" s="363"/>
      <c r="G222" s="363"/>
      <c r="H222" s="363"/>
      <c r="I222" s="363"/>
      <c r="J222" s="363"/>
      <c r="K222" s="365">
        <v>0.4365</v>
      </c>
      <c r="L222" s="365">
        <v>0.4385</v>
      </c>
      <c r="M222" s="365">
        <v>0.4405</v>
      </c>
      <c r="N222" s="365">
        <v>0.4425</v>
      </c>
      <c r="O222" s="365">
        <v>0.44450000000000001</v>
      </c>
    </row>
    <row r="223" spans="2:23" ht="12.95" customHeight="1" x14ac:dyDescent="0.2">
      <c r="B223" s="362" t="str">
        <f ca="1">+OFFSET(B219,$D$10,0)</f>
        <v>Mid (Base) Case</v>
      </c>
      <c r="C223" s="363"/>
      <c r="D223" s="363"/>
      <c r="E223" s="363"/>
      <c r="F223" s="363"/>
      <c r="G223" s="363"/>
      <c r="H223" s="363"/>
      <c r="I223" s="363"/>
      <c r="J223" s="363"/>
      <c r="K223" s="368">
        <f ca="1">+OFFSET(K219,$D$10,0)</f>
        <v>0.44400000000000001</v>
      </c>
      <c r="L223" s="368">
        <f ca="1">+OFFSET(L219,$D$10,0)</f>
        <v>0.44600000000000001</v>
      </c>
      <c r="M223" s="368">
        <f ca="1">+OFFSET(M219,$D$10,0)</f>
        <v>0.44800000000000001</v>
      </c>
      <c r="N223" s="368">
        <f ca="1">+OFFSET(N219,$D$10,0)</f>
        <v>0.45</v>
      </c>
      <c r="O223" s="368">
        <f ca="1">+OFFSET(O219,$D$10,0)</f>
        <v>0.45200000000000001</v>
      </c>
    </row>
    <row r="224" spans="2:23" ht="12.95" customHeight="1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2:15" ht="12.95" customHeight="1" x14ac:dyDescent="0.2">
      <c r="B225" s="362" t="s">
        <v>361</v>
      </c>
      <c r="C225" s="363"/>
      <c r="D225" s="363"/>
      <c r="E225" s="363"/>
      <c r="F225" s="363"/>
      <c r="G225" s="363"/>
      <c r="H225" s="363"/>
      <c r="I225" s="363"/>
      <c r="J225" s="363"/>
      <c r="K225" s="363"/>
      <c r="L225" s="363"/>
      <c r="M225" s="363"/>
      <c r="N225" s="363"/>
      <c r="O225" s="363"/>
    </row>
    <row r="226" spans="2:15" ht="12.95" customHeight="1" x14ac:dyDescent="0.2">
      <c r="B226" s="81" t="s">
        <v>332</v>
      </c>
      <c r="C226" s="81"/>
      <c r="D226" s="81"/>
      <c r="E226" s="81"/>
      <c r="F226" s="81"/>
      <c r="G226" s="81"/>
      <c r="H226" s="81"/>
      <c r="I226" s="81"/>
      <c r="J226" s="81"/>
      <c r="K226" s="364">
        <v>0.26800000000000002</v>
      </c>
      <c r="L226" s="364">
        <v>0.26650000000000001</v>
      </c>
      <c r="M226" s="364">
        <v>0.26500000000000001</v>
      </c>
      <c r="N226" s="364">
        <v>0.26350000000000001</v>
      </c>
      <c r="O226" s="364">
        <v>0.26200000000000001</v>
      </c>
    </row>
    <row r="227" spans="2:15" ht="12.95" customHeight="1" x14ac:dyDescent="0.2">
      <c r="B227" s="81" t="s">
        <v>104</v>
      </c>
      <c r="C227" s="81"/>
      <c r="D227" s="81"/>
      <c r="E227" s="81"/>
      <c r="F227" s="81"/>
      <c r="G227" s="81"/>
      <c r="H227" s="81"/>
      <c r="I227" s="81"/>
      <c r="J227" s="81"/>
      <c r="K227" s="364">
        <v>0.27300000000000002</v>
      </c>
      <c r="L227" s="364">
        <v>0.27150000000000002</v>
      </c>
      <c r="M227" s="364">
        <v>0.27</v>
      </c>
      <c r="N227" s="364">
        <v>0.26850000000000002</v>
      </c>
      <c r="O227" s="364">
        <v>0.26700000000000002</v>
      </c>
    </row>
    <row r="228" spans="2:15" ht="12.95" customHeight="1" x14ac:dyDescent="0.2">
      <c r="B228" s="363" t="s">
        <v>333</v>
      </c>
      <c r="C228" s="363"/>
      <c r="D228" s="363"/>
      <c r="E228" s="363"/>
      <c r="F228" s="363"/>
      <c r="G228" s="363"/>
      <c r="H228" s="363"/>
      <c r="I228" s="363"/>
      <c r="J228" s="363"/>
      <c r="K228" s="365">
        <v>0.27800000000000002</v>
      </c>
      <c r="L228" s="365">
        <v>0.27650000000000002</v>
      </c>
      <c r="M228" s="365">
        <v>0.27500000000000002</v>
      </c>
      <c r="N228" s="365">
        <v>0.27350000000000002</v>
      </c>
      <c r="O228" s="365">
        <v>0.27200000000000002</v>
      </c>
    </row>
    <row r="229" spans="2:15" ht="12.95" customHeight="1" x14ac:dyDescent="0.2">
      <c r="B229" s="362" t="str">
        <f ca="1">+OFFSET(B225,$D$10,0)</f>
        <v>Mid (Base) Case</v>
      </c>
      <c r="C229" s="363"/>
      <c r="D229" s="363"/>
      <c r="E229" s="363"/>
      <c r="F229" s="363"/>
      <c r="G229" s="363"/>
      <c r="H229" s="363"/>
      <c r="I229" s="363"/>
      <c r="J229" s="363"/>
      <c r="K229" s="368">
        <f ca="1">+OFFSET(K225,$D$10,0)</f>
        <v>0.27300000000000002</v>
      </c>
      <c r="L229" s="368">
        <f ca="1">+OFFSET(L225,$D$10,0)</f>
        <v>0.27150000000000002</v>
      </c>
      <c r="M229" s="368">
        <f ca="1">+OFFSET(M225,$D$10,0)</f>
        <v>0.27</v>
      </c>
      <c r="N229" s="368">
        <f ca="1">+OFFSET(N225,$D$10,0)</f>
        <v>0.26850000000000002</v>
      </c>
      <c r="O229" s="368">
        <f ca="1">+OFFSET(O225,$D$10,0)</f>
        <v>0.26700000000000002</v>
      </c>
    </row>
  </sheetData>
  <conditionalFormatting sqref="A201:A210 A184:A197 A89:A182 A1:A82 A220:A1048576">
    <cfRule type="expression" dxfId="16" priority="5">
      <formula>$D$17&gt;0</formula>
    </cfRule>
  </conditionalFormatting>
  <conditionalFormatting sqref="A183">
    <cfRule type="expression" dxfId="15" priority="4">
      <formula>$D$17&gt;0</formula>
    </cfRule>
  </conditionalFormatting>
  <conditionalFormatting sqref="A198:A200">
    <cfRule type="expression" dxfId="14" priority="3">
      <formula>$D$17&gt;0</formula>
    </cfRule>
  </conditionalFormatting>
  <conditionalFormatting sqref="A83:A87">
    <cfRule type="expression" dxfId="13" priority="2">
      <formula>$D$17&gt;0</formula>
    </cfRule>
  </conditionalFormatting>
  <conditionalFormatting sqref="A88">
    <cfRule type="expression" dxfId="12" priority="1">
      <formula>$D$17&gt;0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5" manualBreakCount="5">
    <brk id="59" min="1" max="14" man="1"/>
    <brk id="94" min="1" max="14" man="1"/>
    <brk id="120" min="1" max="14" man="1"/>
    <brk id="146" min="1" max="14" man="1"/>
    <brk id="209" min="1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7F06-D7E2-4AC1-A5C0-35531A43C1D8}">
  <dimension ref="A2:X299"/>
  <sheetViews>
    <sheetView showGridLines="0" zoomScaleNormal="100" zoomScaleSheetLayoutView="85" workbookViewId="0"/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332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333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+IF(SUM(H93:O93)=0,0,1)</f>
        <v>1</v>
      </c>
    </row>
    <row r="17" spans="1:15" ht="12.95" customHeight="1" x14ac:dyDescent="0.2">
      <c r="B17" s="1" t="s">
        <v>8</v>
      </c>
      <c r="D17" s="259">
        <f ca="1">+IF(SUM(K187:O187)=0,0,1)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1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31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">
        <v>132</v>
      </c>
      <c r="I25" s="10"/>
      <c r="J25" s="10"/>
      <c r="K25" s="10"/>
      <c r="L25" s="10"/>
      <c r="M25" s="10"/>
      <c r="N25" s="10"/>
      <c r="O25" s="10"/>
    </row>
    <row r="26" spans="1:15" ht="12.95" customHeight="1" x14ac:dyDescent="0.2">
      <c r="H26" s="47">
        <f>+I26-1</f>
        <v>2018</v>
      </c>
      <c r="I26" s="47">
        <f>+J26-1</f>
        <v>2019</v>
      </c>
      <c r="J26" s="48">
        <f>+K26-1</f>
        <v>2020</v>
      </c>
      <c r="K26" s="191">
        <f>+E7</f>
        <v>2021</v>
      </c>
      <c r="L26" s="39">
        <f>+K26+1</f>
        <v>2022</v>
      </c>
      <c r="M26" s="39">
        <f>+L26+1</f>
        <v>2023</v>
      </c>
      <c r="N26" s="39">
        <f>+M26+1</f>
        <v>2024</v>
      </c>
      <c r="O26" s="39">
        <f>+N26+1</f>
        <v>2025</v>
      </c>
    </row>
    <row r="27" spans="1:15" ht="12.95" customHeight="1" x14ac:dyDescent="0.2">
      <c r="B27" s="1" t="s">
        <v>14</v>
      </c>
      <c r="H27" s="49">
        <v>1209.9228781500001</v>
      </c>
      <c r="I27" s="49">
        <v>1288.5678652297499</v>
      </c>
      <c r="J27" s="50">
        <v>1378.7676157958326</v>
      </c>
      <c r="K27" s="195">
        <f ca="1">+J27*(1+K52)</f>
        <v>1478.7282679410305</v>
      </c>
      <c r="L27" s="195">
        <f ca="1">+K27*(1+L52)</f>
        <v>1589.6328880366079</v>
      </c>
      <c r="M27" s="195">
        <f ca="1">+L27*(1+M52)</f>
        <v>1712.8294368594452</v>
      </c>
      <c r="N27" s="195">
        <f ca="1">+M27*(1+N52)</f>
        <v>1849.8557918082008</v>
      </c>
      <c r="O27" s="195">
        <f ca="1">+N27*(1+O52)</f>
        <v>2002.4688946323774</v>
      </c>
    </row>
    <row r="28" spans="1:15" ht="12.95" customHeight="1" x14ac:dyDescent="0.2">
      <c r="B28" s="20" t="s">
        <v>32</v>
      </c>
      <c r="C28" s="20"/>
      <c r="D28" s="20"/>
      <c r="E28" s="20"/>
      <c r="F28" s="20"/>
      <c r="G28" s="20"/>
      <c r="H28" s="51">
        <v>-679.97665752030014</v>
      </c>
      <c r="I28" s="51">
        <v>-721.59800452866</v>
      </c>
      <c r="J28" s="52">
        <v>-769.35232961407462</v>
      </c>
      <c r="K28" s="153">
        <f ca="1">-(K27*(1-K53))</f>
        <v>-822.17291697521307</v>
      </c>
      <c r="L28" s="153">
        <f ca="1">-(L27*(1-L53))</f>
        <v>-880.65661997228085</v>
      </c>
      <c r="M28" s="153">
        <f ca="1">-(M27*(1-M53))</f>
        <v>-945.48184914641388</v>
      </c>
      <c r="N28" s="153">
        <f ca="1">-(N27*(1-N53))</f>
        <v>-1017.4206854945105</v>
      </c>
      <c r="O28" s="153">
        <f ca="1">-(O27*(1-O53))</f>
        <v>-1097.3529542585429</v>
      </c>
    </row>
    <row r="29" spans="1:15" ht="12.95" customHeight="1" x14ac:dyDescent="0.2">
      <c r="B29" s="1" t="s">
        <v>33</v>
      </c>
      <c r="H29" s="53">
        <f t="shared" ref="H29:O29" si="0">SUM(H27:H28)</f>
        <v>529.94622062969995</v>
      </c>
      <c r="I29" s="53">
        <f t="shared" si="0"/>
        <v>566.96986070108994</v>
      </c>
      <c r="J29" s="54">
        <f t="shared" si="0"/>
        <v>609.41528618175801</v>
      </c>
      <c r="K29" s="134">
        <f t="shared" ca="1" si="0"/>
        <v>656.55535096581741</v>
      </c>
      <c r="L29" s="135">
        <f t="shared" ca="1" si="0"/>
        <v>708.97626806432709</v>
      </c>
      <c r="M29" s="135">
        <f t="shared" ca="1" si="0"/>
        <v>767.34758771303132</v>
      </c>
      <c r="N29" s="135">
        <f t="shared" ca="1" si="0"/>
        <v>832.43510631369031</v>
      </c>
      <c r="O29" s="135">
        <f t="shared" ca="1" si="0"/>
        <v>905.11594037383452</v>
      </c>
    </row>
    <row r="30" spans="1:15" ht="12.95" customHeight="1" x14ac:dyDescent="0.2">
      <c r="B30" s="20" t="s">
        <v>34</v>
      </c>
      <c r="C30" s="20"/>
      <c r="D30" s="20"/>
      <c r="E30" s="20"/>
      <c r="F30" s="20"/>
      <c r="G30" s="20"/>
      <c r="H30" s="51">
        <v>-335.75359868662508</v>
      </c>
      <c r="I30" s="51">
        <v>-355.64473080341099</v>
      </c>
      <c r="J30" s="52">
        <v>-378.47171053595611</v>
      </c>
      <c r="K30" s="134">
        <f ca="1">-K27*K54</f>
        <v>-403.69281714790134</v>
      </c>
      <c r="L30" s="135">
        <f ca="1">-L27*L54</f>
        <v>-431.58532910193907</v>
      </c>
      <c r="M30" s="135">
        <f ca="1">-M27*M54</f>
        <v>-462.46394795205021</v>
      </c>
      <c r="N30" s="135">
        <f ca="1">-N27*N54</f>
        <v>-496.68628010050196</v>
      </c>
      <c r="O30" s="135">
        <f ca="1">-O27*O54</f>
        <v>-534.65919486684481</v>
      </c>
    </row>
    <row r="31" spans="1:15" ht="12.95" customHeight="1" x14ac:dyDescent="0.2">
      <c r="B31" s="21" t="s">
        <v>35</v>
      </c>
      <c r="C31" s="21"/>
      <c r="D31" s="21"/>
      <c r="E31" s="21"/>
      <c r="F31" s="21"/>
      <c r="G31" s="21"/>
      <c r="H31" s="55">
        <f t="shared" ref="H31:O31" si="1">+SUM(H29:H30)</f>
        <v>194.19262194307487</v>
      </c>
      <c r="I31" s="55">
        <f t="shared" si="1"/>
        <v>211.32512989767895</v>
      </c>
      <c r="J31" s="56">
        <f t="shared" si="1"/>
        <v>230.9435756458019</v>
      </c>
      <c r="K31" s="196">
        <f t="shared" ca="1" si="1"/>
        <v>252.86253381791607</v>
      </c>
      <c r="L31" s="196">
        <f t="shared" ca="1" si="1"/>
        <v>277.39093896238802</v>
      </c>
      <c r="M31" s="196">
        <f t="shared" ca="1" si="1"/>
        <v>304.88363976098111</v>
      </c>
      <c r="N31" s="196">
        <f t="shared" ca="1" si="1"/>
        <v>335.74882621318835</v>
      </c>
      <c r="O31" s="196">
        <f t="shared" ca="1" si="1"/>
        <v>370.45674550698971</v>
      </c>
    </row>
    <row r="32" spans="1:15" ht="12.95" customHeight="1" x14ac:dyDescent="0.2">
      <c r="B32" s="1" t="s">
        <v>36</v>
      </c>
      <c r="H32" s="51">
        <v>3.4200303417144116</v>
      </c>
      <c r="I32" s="51">
        <v>4.8107943213989754</v>
      </c>
      <c r="J32" s="52">
        <v>6.3350607435463786</v>
      </c>
      <c r="K32" s="134">
        <f ca="1">+K206</f>
        <v>7.8268604552114516</v>
      </c>
      <c r="L32" s="135">
        <f ca="1">+L206</f>
        <v>9.2863357936054314</v>
      </c>
      <c r="M32" s="135">
        <f ca="1">+M206</f>
        <v>10.896996209007883</v>
      </c>
      <c r="N32" s="135">
        <f ca="1">+N206</f>
        <v>12.677101830065988</v>
      </c>
      <c r="O32" s="135">
        <f ca="1">+O206</f>
        <v>14.647423293428469</v>
      </c>
    </row>
    <row r="33" spans="2:15" ht="12.95" customHeight="1" x14ac:dyDescent="0.2">
      <c r="B33" s="20" t="s">
        <v>97</v>
      </c>
      <c r="C33" s="20"/>
      <c r="D33" s="20"/>
      <c r="E33" s="20"/>
      <c r="F33" s="20"/>
      <c r="G33" s="20"/>
      <c r="H33" s="51">
        <v>-2.5</v>
      </c>
      <c r="I33" s="51">
        <v>-2.5</v>
      </c>
      <c r="J33" s="52">
        <v>-2.5</v>
      </c>
      <c r="K33" s="217">
        <f ca="1">-(K184+K195)</f>
        <v>-2.5</v>
      </c>
      <c r="L33" s="217">
        <f ca="1">-(L184+L195)</f>
        <v>-2.5</v>
      </c>
      <c r="M33" s="217">
        <f ca="1">-(M184+M195)</f>
        <v>-2.5</v>
      </c>
      <c r="N33" s="217">
        <f ca="1">-(N184+N195)</f>
        <v>-2.5</v>
      </c>
      <c r="O33" s="217">
        <f ca="1">-(O184+O195)</f>
        <v>-2.5</v>
      </c>
    </row>
    <row r="34" spans="2:15" ht="12.95" customHeight="1" x14ac:dyDescent="0.2">
      <c r="B34" s="1" t="s">
        <v>37</v>
      </c>
      <c r="H34" s="53">
        <f t="shared" ref="H34:O34" si="2">+SUM(H31:H33)</f>
        <v>195.11265228478928</v>
      </c>
      <c r="I34" s="53">
        <f t="shared" si="2"/>
        <v>213.63592421907794</v>
      </c>
      <c r="J34" s="54">
        <f t="shared" si="2"/>
        <v>234.77863638934826</v>
      </c>
      <c r="K34" s="134">
        <f t="shared" ca="1" si="2"/>
        <v>258.1893942731275</v>
      </c>
      <c r="L34" s="134">
        <f t="shared" ca="1" si="2"/>
        <v>284.17727475599344</v>
      </c>
      <c r="M34" s="134">
        <f t="shared" ca="1" si="2"/>
        <v>313.28063596998902</v>
      </c>
      <c r="N34" s="134">
        <f t="shared" ca="1" si="2"/>
        <v>345.92592804325432</v>
      </c>
      <c r="O34" s="134">
        <f t="shared" ca="1" si="2"/>
        <v>382.60416880041817</v>
      </c>
    </row>
    <row r="35" spans="2:15" ht="12.95" customHeight="1" x14ac:dyDescent="0.2">
      <c r="B35" s="1" t="s">
        <v>38</v>
      </c>
      <c r="H35" s="51">
        <v>-50.729289594045213</v>
      </c>
      <c r="I35" s="51">
        <v>-55.545340296960262</v>
      </c>
      <c r="J35" s="52">
        <v>-61.04244546123055</v>
      </c>
      <c r="K35" s="134">
        <f ca="1">-K34*K59</f>
        <v>-67.12924251101316</v>
      </c>
      <c r="L35" s="135">
        <f ca="1">-L34*L59</f>
        <v>-73.886091436558303</v>
      </c>
      <c r="M35" s="135">
        <f ca="1">-M34*M59</f>
        <v>-81.452965352197154</v>
      </c>
      <c r="N35" s="135">
        <f ca="1">-N34*N59</f>
        <v>-89.940741291246127</v>
      </c>
      <c r="O35" s="135">
        <f ca="1">-O34*O59</f>
        <v>-99.477083888108723</v>
      </c>
    </row>
    <row r="36" spans="2:15" s="93" customFormat="1" ht="12.95" customHeight="1" x14ac:dyDescent="0.2">
      <c r="B36" s="16" t="s">
        <v>39</v>
      </c>
      <c r="C36" s="16"/>
      <c r="D36" s="16"/>
      <c r="E36" s="16"/>
      <c r="F36" s="16"/>
      <c r="G36" s="16"/>
      <c r="H36" s="55">
        <f t="shared" ref="H36:O36" si="3">+SUM(H34:H35)</f>
        <v>144.38336269074406</v>
      </c>
      <c r="I36" s="55">
        <f t="shared" si="3"/>
        <v>158.09058392211767</v>
      </c>
      <c r="J36" s="56">
        <f t="shared" si="3"/>
        <v>173.73619092811771</v>
      </c>
      <c r="K36" s="145">
        <f t="shared" ca="1" si="3"/>
        <v>191.06015176211434</v>
      </c>
      <c r="L36" s="145">
        <f t="shared" ca="1" si="3"/>
        <v>210.29118331943513</v>
      </c>
      <c r="M36" s="145">
        <f t="shared" ca="1" si="3"/>
        <v>231.82767061779185</v>
      </c>
      <c r="N36" s="145">
        <f t="shared" ca="1" si="3"/>
        <v>255.98518675200819</v>
      </c>
      <c r="O36" s="145">
        <f t="shared" ca="1" si="3"/>
        <v>283.12708491230944</v>
      </c>
    </row>
    <row r="37" spans="2:15" ht="12.95" customHeight="1" x14ac:dyDescent="0.2">
      <c r="H37" s="57"/>
      <c r="I37" s="57"/>
      <c r="J37" s="58"/>
      <c r="K37" s="198"/>
      <c r="L37" s="199"/>
      <c r="M37" s="199"/>
      <c r="N37" s="199"/>
      <c r="O37" s="199"/>
    </row>
    <row r="38" spans="2:15" ht="12.95" customHeight="1" x14ac:dyDescent="0.2">
      <c r="B38" s="95" t="s">
        <v>109</v>
      </c>
      <c r="H38" s="215">
        <v>100.91013022450269</v>
      </c>
      <c r="I38" s="215">
        <v>101.22532805211092</v>
      </c>
      <c r="J38" s="216">
        <v>101.5551580431645</v>
      </c>
      <c r="K38" s="193">
        <f ca="1">+K260</f>
        <v>101.90401653516366</v>
      </c>
      <c r="L38" s="193">
        <f ca="1">+L260</f>
        <v>102.2715337479319</v>
      </c>
      <c r="M38" s="193">
        <f ca="1">+M260</f>
        <v>102.65620817950474</v>
      </c>
      <c r="N38" s="193">
        <f ca="1">+N260</f>
        <v>103.05644930635414</v>
      </c>
      <c r="O38" s="193">
        <f ca="1">+O260</f>
        <v>103.47059481132945</v>
      </c>
    </row>
    <row r="39" spans="2:15" s="92" customFormat="1" ht="12.95" customHeight="1" x14ac:dyDescent="0.2">
      <c r="B39" s="169" t="s">
        <v>106</v>
      </c>
      <c r="C39" s="16"/>
      <c r="D39" s="16"/>
      <c r="E39" s="16"/>
      <c r="F39" s="16"/>
      <c r="G39" s="16"/>
      <c r="H39" s="126">
        <f t="shared" ref="H39:O39" si="4">+H36/H38</f>
        <v>1.4308113800816931</v>
      </c>
      <c r="I39" s="126">
        <f t="shared" si="4"/>
        <v>1.5617690450035633</v>
      </c>
      <c r="J39" s="127">
        <f t="shared" si="4"/>
        <v>1.7107569352043521</v>
      </c>
      <c r="K39" s="200">
        <f t="shared" ca="1" si="4"/>
        <v>1.8749030534648836</v>
      </c>
      <c r="L39" s="200">
        <f t="shared" ca="1" si="4"/>
        <v>2.0562044550709357</v>
      </c>
      <c r="M39" s="200">
        <f t="shared" ca="1" si="4"/>
        <v>2.2582917753246621</v>
      </c>
      <c r="N39" s="200">
        <f t="shared" ca="1" si="4"/>
        <v>2.4839317526945393</v>
      </c>
      <c r="O39" s="200">
        <f t="shared" ca="1" si="4"/>
        <v>2.736304796822417</v>
      </c>
    </row>
    <row r="40" spans="2:15" ht="12.95" customHeight="1" x14ac:dyDescent="0.2">
      <c r="B40" s="96"/>
      <c r="H40" s="91"/>
      <c r="I40" s="91"/>
      <c r="J40" s="59"/>
      <c r="K40" s="198"/>
      <c r="L40" s="199"/>
      <c r="M40" s="199"/>
      <c r="N40" s="199"/>
      <c r="O40" s="199"/>
    </row>
    <row r="41" spans="2:15" ht="12.95" customHeight="1" x14ac:dyDescent="0.2">
      <c r="B41" s="95" t="s">
        <v>107</v>
      </c>
      <c r="H41" s="215">
        <v>105.91013022450269</v>
      </c>
      <c r="I41" s="215">
        <v>106.22532805211092</v>
      </c>
      <c r="J41" s="216">
        <v>106.5551580431645</v>
      </c>
      <c r="K41" s="193">
        <f ca="1">+K262</f>
        <v>106.90401653516366</v>
      </c>
      <c r="L41" s="193">
        <f ca="1">+L262</f>
        <v>107.2715337479319</v>
      </c>
      <c r="M41" s="193">
        <f ca="1">+M262</f>
        <v>107.65620817950474</v>
      </c>
      <c r="N41" s="193">
        <f ca="1">+N262</f>
        <v>108.05644930635414</v>
      </c>
      <c r="O41" s="193">
        <f ca="1">+O262</f>
        <v>108.47059481132945</v>
      </c>
    </row>
    <row r="42" spans="2:15" s="92" customFormat="1" ht="12.95" customHeight="1" x14ac:dyDescent="0.2">
      <c r="B42" s="169" t="s">
        <v>108</v>
      </c>
      <c r="C42" s="16"/>
      <c r="D42" s="16"/>
      <c r="E42" s="16"/>
      <c r="F42" s="16"/>
      <c r="G42" s="16"/>
      <c r="H42" s="126">
        <f t="shared" ref="H42:O42" si="5">+H36/H41</f>
        <v>1.3632630078415335</v>
      </c>
      <c r="I42" s="126">
        <f t="shared" si="5"/>
        <v>1.4882569611323133</v>
      </c>
      <c r="J42" s="127">
        <f t="shared" si="5"/>
        <v>1.6304812842353329</v>
      </c>
      <c r="K42" s="200">
        <f t="shared" ca="1" si="5"/>
        <v>1.7872120988014462</v>
      </c>
      <c r="L42" s="200">
        <f t="shared" ca="1" si="5"/>
        <v>1.9603633505751881</v>
      </c>
      <c r="M42" s="200">
        <f t="shared" ca="1" si="5"/>
        <v>2.1534073560462486</v>
      </c>
      <c r="N42" s="200">
        <f t="shared" ca="1" si="5"/>
        <v>2.368994987298322</v>
      </c>
      <c r="O42" s="200">
        <f t="shared" ca="1" si="5"/>
        <v>2.6101736180646222</v>
      </c>
    </row>
    <row r="43" spans="2:15" ht="12.95" customHeight="1" x14ac:dyDescent="0.2">
      <c r="H43" s="91"/>
      <c r="I43" s="91"/>
      <c r="J43" s="59"/>
      <c r="K43" s="198"/>
      <c r="L43" s="199"/>
      <c r="M43" s="199"/>
      <c r="N43" s="199"/>
      <c r="O43" s="199"/>
    </row>
    <row r="44" spans="2:15" ht="12.95" customHeight="1" x14ac:dyDescent="0.2">
      <c r="B44" s="28" t="s">
        <v>40</v>
      </c>
      <c r="C44" s="20"/>
      <c r="D44" s="20"/>
      <c r="E44" s="20"/>
      <c r="F44" s="20"/>
      <c r="G44" s="20"/>
      <c r="H44" s="29"/>
      <c r="I44" s="29"/>
      <c r="J44" s="59"/>
      <c r="K44" s="201"/>
      <c r="L44" s="202"/>
      <c r="M44" s="202"/>
      <c r="N44" s="202"/>
      <c r="O44" s="202"/>
    </row>
    <row r="45" spans="2:15" ht="12.95" customHeight="1" x14ac:dyDescent="0.2">
      <c r="B45" s="1" t="s">
        <v>41</v>
      </c>
      <c r="H45" s="53">
        <f t="shared" ref="H45:O45" si="6">+H31</f>
        <v>194.19262194307487</v>
      </c>
      <c r="I45" s="53">
        <f t="shared" si="6"/>
        <v>211.32512989767895</v>
      </c>
      <c r="J45" s="54">
        <f t="shared" si="6"/>
        <v>230.9435756458019</v>
      </c>
      <c r="K45" s="197">
        <f t="shared" ca="1" si="6"/>
        <v>252.86253381791607</v>
      </c>
      <c r="L45" s="197">
        <f t="shared" ca="1" si="6"/>
        <v>277.39093896238802</v>
      </c>
      <c r="M45" s="197">
        <f t="shared" ca="1" si="6"/>
        <v>304.88363976098111</v>
      </c>
      <c r="N45" s="197">
        <f t="shared" ca="1" si="6"/>
        <v>335.74882621318835</v>
      </c>
      <c r="O45" s="197">
        <f t="shared" ca="1" si="6"/>
        <v>370.45674550698971</v>
      </c>
    </row>
    <row r="46" spans="2:15" ht="12.95" customHeight="1" x14ac:dyDescent="0.2">
      <c r="B46" s="20" t="s">
        <v>42</v>
      </c>
      <c r="C46" s="20"/>
      <c r="D46" s="20"/>
      <c r="E46" s="20"/>
      <c r="F46" s="20"/>
      <c r="G46" s="20"/>
      <c r="H46" s="132">
        <v>13.30915165965</v>
      </c>
      <c r="I46" s="132">
        <v>15.462814382756999</v>
      </c>
      <c r="J46" s="133">
        <v>17.923979005345824</v>
      </c>
      <c r="K46" s="134">
        <f ca="1">+K119</f>
        <v>19.962831617203911</v>
      </c>
      <c r="L46" s="134">
        <f ca="1">+L119</f>
        <v>22.254860432512512</v>
      </c>
      <c r="M46" s="134">
        <f ca="1">+M119</f>
        <v>24.836026834461958</v>
      </c>
      <c r="N46" s="134">
        <f ca="1">+N119</f>
        <v>27.747836877123014</v>
      </c>
      <c r="O46" s="134">
        <f ca="1">+O119</f>
        <v>31.038267866801853</v>
      </c>
    </row>
    <row r="47" spans="2:15" ht="12.95" customHeight="1" x14ac:dyDescent="0.2">
      <c r="B47" s="1" t="s">
        <v>19</v>
      </c>
      <c r="H47" s="53">
        <f t="shared" ref="H47:O47" si="7">SUM(H45:H46)</f>
        <v>207.50177360272488</v>
      </c>
      <c r="I47" s="53">
        <f t="shared" si="7"/>
        <v>226.78794428043594</v>
      </c>
      <c r="J47" s="54">
        <f t="shared" si="7"/>
        <v>248.86755465114771</v>
      </c>
      <c r="K47" s="197">
        <f t="shared" ca="1" si="7"/>
        <v>272.82536543511998</v>
      </c>
      <c r="L47" s="197">
        <f t="shared" ca="1" si="7"/>
        <v>299.64579939490051</v>
      </c>
      <c r="M47" s="197">
        <f t="shared" ca="1" si="7"/>
        <v>329.71966659544307</v>
      </c>
      <c r="N47" s="197">
        <f t="shared" ca="1" si="7"/>
        <v>363.49666309031136</v>
      </c>
      <c r="O47" s="197">
        <f t="shared" ca="1" si="7"/>
        <v>401.49501337379155</v>
      </c>
    </row>
    <row r="48" spans="2:15" ht="12.95" customHeight="1" x14ac:dyDescent="0.2">
      <c r="B48" s="1" t="s">
        <v>161</v>
      </c>
      <c r="H48" s="51">
        <v>3.3</v>
      </c>
      <c r="I48" s="51">
        <v>4.5999999999999996</v>
      </c>
      <c r="J48" s="52">
        <v>2.5</v>
      </c>
      <c r="K48" s="226">
        <v>0</v>
      </c>
      <c r="L48" s="132">
        <v>0</v>
      </c>
      <c r="M48" s="132">
        <v>0</v>
      </c>
      <c r="N48" s="132">
        <v>0</v>
      </c>
      <c r="O48" s="132">
        <v>0</v>
      </c>
    </row>
    <row r="49" spans="1:15" s="92" customFormat="1" ht="12.95" customHeight="1" x14ac:dyDescent="0.2">
      <c r="B49" s="16" t="s">
        <v>43</v>
      </c>
      <c r="C49" s="16"/>
      <c r="D49" s="16"/>
      <c r="E49" s="16"/>
      <c r="F49" s="16"/>
      <c r="G49" s="16"/>
      <c r="H49" s="69">
        <f t="shared" ref="H49:O49" si="8">+SUM(H47:H48)</f>
        <v>210.80177360272489</v>
      </c>
      <c r="I49" s="69">
        <f t="shared" si="8"/>
        <v>231.38794428043593</v>
      </c>
      <c r="J49" s="70">
        <f t="shared" si="8"/>
        <v>251.36755465114771</v>
      </c>
      <c r="K49" s="145">
        <f t="shared" ca="1" si="8"/>
        <v>272.82536543511998</v>
      </c>
      <c r="L49" s="145">
        <f t="shared" ca="1" si="8"/>
        <v>299.64579939490051</v>
      </c>
      <c r="M49" s="145">
        <f t="shared" ca="1" si="8"/>
        <v>329.71966659544307</v>
      </c>
      <c r="N49" s="145">
        <f t="shared" ca="1" si="8"/>
        <v>363.49666309031136</v>
      </c>
      <c r="O49" s="145">
        <f t="shared" ca="1" si="8"/>
        <v>401.49501337379155</v>
      </c>
    </row>
    <row r="50" spans="1:15" ht="12.95" customHeight="1" x14ac:dyDescent="0.2">
      <c r="J50" s="35"/>
      <c r="K50" s="93"/>
    </row>
    <row r="51" spans="1:15" ht="12.95" customHeight="1" x14ac:dyDescent="0.2">
      <c r="B51" s="28" t="s">
        <v>44</v>
      </c>
      <c r="C51" s="20"/>
      <c r="D51" s="20"/>
      <c r="E51" s="20"/>
      <c r="F51" s="20"/>
      <c r="G51" s="20"/>
      <c r="H51" s="20"/>
      <c r="I51" s="20"/>
      <c r="J51" s="60"/>
      <c r="K51" s="20"/>
      <c r="L51" s="20"/>
      <c r="M51" s="20"/>
      <c r="N51" s="20"/>
      <c r="O51" s="20"/>
    </row>
    <row r="52" spans="1:15" ht="12.95" customHeight="1" x14ac:dyDescent="0.2">
      <c r="B52" s="1" t="s">
        <v>151</v>
      </c>
      <c r="H52" s="22"/>
      <c r="I52" s="61">
        <f>+I27/H27-1</f>
        <v>6.4999999999999947E-2</v>
      </c>
      <c r="J52" s="62">
        <f>+J27/I27-1</f>
        <v>7.0000000000000062E-2</v>
      </c>
      <c r="K52" s="371">
        <f ca="1">+K287</f>
        <v>7.2500000000000064E-2</v>
      </c>
      <c r="L52" s="61">
        <f t="shared" ref="L52:O52" ca="1" si="9">+L287</f>
        <v>7.5000000000000067E-2</v>
      </c>
      <c r="M52" s="61">
        <f t="shared" ca="1" si="9"/>
        <v>7.7500000000000069E-2</v>
      </c>
      <c r="N52" s="61">
        <f t="shared" ca="1" si="9"/>
        <v>8.0000000000000071E-2</v>
      </c>
      <c r="O52" s="61">
        <f t="shared" ca="1" si="9"/>
        <v>8.2500000000000073E-2</v>
      </c>
    </row>
    <row r="53" spans="1:15" ht="12.95" customHeight="1" x14ac:dyDescent="0.2">
      <c r="B53" s="1" t="s">
        <v>45</v>
      </c>
      <c r="H53" s="61">
        <f>+H29/H27</f>
        <v>0.43799999999999994</v>
      </c>
      <c r="I53" s="61">
        <f>+I29/I27</f>
        <v>0.44</v>
      </c>
      <c r="J53" s="62">
        <f>+J29/J27</f>
        <v>0.442</v>
      </c>
      <c r="K53" s="371">
        <f ca="1">+K293</f>
        <v>0.44400000000000001</v>
      </c>
      <c r="L53" s="61">
        <f t="shared" ref="L53:O53" ca="1" si="10">+L293</f>
        <v>0.44600000000000001</v>
      </c>
      <c r="M53" s="61">
        <f t="shared" ca="1" si="10"/>
        <v>0.44800000000000001</v>
      </c>
      <c r="N53" s="61">
        <f t="shared" ca="1" si="10"/>
        <v>0.45</v>
      </c>
      <c r="O53" s="61">
        <f t="shared" ca="1" si="10"/>
        <v>0.45200000000000001</v>
      </c>
    </row>
    <row r="54" spans="1:15" ht="12.95" customHeight="1" x14ac:dyDescent="0.2">
      <c r="B54" s="1" t="s">
        <v>46</v>
      </c>
      <c r="H54" s="61">
        <f>-H30/H27</f>
        <v>0.27750000000000002</v>
      </c>
      <c r="I54" s="61">
        <f>-I30/I27</f>
        <v>0.27600000000000002</v>
      </c>
      <c r="J54" s="62">
        <f>-J30/J27</f>
        <v>0.27450000000000002</v>
      </c>
      <c r="K54" s="371">
        <f ca="1">+K299</f>
        <v>0.27300000000000002</v>
      </c>
      <c r="L54" s="61">
        <f t="shared" ref="L54:O54" ca="1" si="11">+L299</f>
        <v>0.27150000000000002</v>
      </c>
      <c r="M54" s="61">
        <f t="shared" ca="1" si="11"/>
        <v>0.27</v>
      </c>
      <c r="N54" s="61">
        <f t="shared" ca="1" si="11"/>
        <v>0.26850000000000002</v>
      </c>
      <c r="O54" s="61">
        <f t="shared" ca="1" si="11"/>
        <v>0.26700000000000002</v>
      </c>
    </row>
    <row r="55" spans="1:15" ht="12.95" customHeight="1" x14ac:dyDescent="0.2">
      <c r="B55" s="1" t="s">
        <v>47</v>
      </c>
      <c r="H55" s="63">
        <f t="shared" ref="H55:O55" si="12">+H49/H27</f>
        <v>0.17422744656671477</v>
      </c>
      <c r="I55" s="63">
        <f t="shared" si="12"/>
        <v>0.17956985466122871</v>
      </c>
      <c r="J55" s="64">
        <f t="shared" si="12"/>
        <v>0.18231321346059967</v>
      </c>
      <c r="K55" s="190">
        <f t="shared" ca="1" si="12"/>
        <v>0.18449999999999991</v>
      </c>
      <c r="L55" s="63">
        <f t="shared" ca="1" si="12"/>
        <v>0.18849999999999995</v>
      </c>
      <c r="M55" s="63">
        <f t="shared" ca="1" si="12"/>
        <v>0.19249999999999992</v>
      </c>
      <c r="N55" s="63">
        <f t="shared" ca="1" si="12"/>
        <v>0.19649999999999995</v>
      </c>
      <c r="O55" s="63">
        <f t="shared" ca="1" si="12"/>
        <v>0.20049999999999993</v>
      </c>
    </row>
    <row r="56" spans="1:15" ht="12.95" customHeight="1" x14ac:dyDescent="0.2">
      <c r="B56" s="1" t="s">
        <v>152</v>
      </c>
      <c r="I56" s="63">
        <f t="shared" ref="I56:O56" si="13">+I49/H49-1</f>
        <v>9.7656534505765391E-2</v>
      </c>
      <c r="J56" s="64">
        <f t="shared" si="13"/>
        <v>8.6346807880781418E-2</v>
      </c>
      <c r="K56" s="190">
        <f t="shared" ca="1" si="13"/>
        <v>8.536428185312861E-2</v>
      </c>
      <c r="L56" s="63">
        <f t="shared" ca="1" si="13"/>
        <v>9.8306233062330994E-2</v>
      </c>
      <c r="M56" s="63">
        <f t="shared" ca="1" si="13"/>
        <v>0.10036472148541109</v>
      </c>
      <c r="N56" s="63">
        <f t="shared" ca="1" si="13"/>
        <v>0.10244155844155856</v>
      </c>
      <c r="O56" s="63">
        <f t="shared" ca="1" si="13"/>
        <v>0.10453562340966926</v>
      </c>
    </row>
    <row r="57" spans="1:15" ht="12.95" customHeight="1" x14ac:dyDescent="0.2">
      <c r="B57" s="1" t="s">
        <v>136</v>
      </c>
      <c r="I57" s="63">
        <f t="shared" ref="I57:O57" si="14">+I36/H36-1</f>
        <v>9.493629304598783E-2</v>
      </c>
      <c r="J57" s="64">
        <f t="shared" si="14"/>
        <v>9.896609031254977E-2</v>
      </c>
      <c r="K57" s="190">
        <f t="shared" ca="1" si="14"/>
        <v>9.9714174355096441E-2</v>
      </c>
      <c r="L57" s="63">
        <f t="shared" ca="1" si="14"/>
        <v>0.10065432995816415</v>
      </c>
      <c r="M57" s="63">
        <f t="shared" ca="1" si="14"/>
        <v>0.10241269728195168</v>
      </c>
      <c r="N57" s="63">
        <f t="shared" ca="1" si="14"/>
        <v>0.10420462781616857</v>
      </c>
      <c r="O57" s="63">
        <f t="shared" ca="1" si="14"/>
        <v>0.10602917498736208</v>
      </c>
    </row>
    <row r="58" spans="1:15" ht="12.95" customHeight="1" x14ac:dyDescent="0.2">
      <c r="B58" s="1" t="s">
        <v>137</v>
      </c>
      <c r="I58" s="63">
        <f t="shared" ref="I58:O58" si="15">+I42/H42-1</f>
        <v>9.168733587855793E-2</v>
      </c>
      <c r="J58" s="64">
        <f t="shared" si="15"/>
        <v>9.5564359393159437E-2</v>
      </c>
      <c r="K58" s="190">
        <f t="shared" ca="1" si="15"/>
        <v>9.6125491338968194E-2</v>
      </c>
      <c r="L58" s="63">
        <f t="shared" ca="1" si="15"/>
        <v>9.688343755610318E-2</v>
      </c>
      <c r="M58" s="63">
        <f t="shared" ca="1" si="15"/>
        <v>9.8473584202857012E-2</v>
      </c>
      <c r="N58" s="63">
        <f t="shared" ca="1" si="15"/>
        <v>0.10011465348010229</v>
      </c>
      <c r="O58" s="63">
        <f t="shared" ca="1" si="15"/>
        <v>0.10180630691893033</v>
      </c>
    </row>
    <row r="59" spans="1:15" ht="12.95" customHeight="1" x14ac:dyDescent="0.2">
      <c r="B59" s="1" t="s">
        <v>48</v>
      </c>
      <c r="H59" s="61">
        <f>-H35/H34</f>
        <v>0.26</v>
      </c>
      <c r="I59" s="61">
        <f>-I35/I34</f>
        <v>0.26</v>
      </c>
      <c r="J59" s="62">
        <f>-J35/J34</f>
        <v>0.26</v>
      </c>
      <c r="K59" s="113">
        <v>0.26</v>
      </c>
      <c r="L59" s="22">
        <v>0.26</v>
      </c>
      <c r="M59" s="22">
        <v>0.26</v>
      </c>
      <c r="N59" s="22">
        <v>0.26</v>
      </c>
      <c r="O59" s="22">
        <v>0.26</v>
      </c>
    </row>
    <row r="60" spans="1:15" ht="12.95" customHeight="1" x14ac:dyDescent="0.2">
      <c r="B60" s="20" t="s">
        <v>49</v>
      </c>
      <c r="C60" s="20"/>
      <c r="D60" s="20"/>
      <c r="E60" s="20"/>
      <c r="F60" s="20"/>
      <c r="G60" s="20"/>
      <c r="H60" s="65">
        <f t="shared" ref="H60:O60" si="16">+H46/H27</f>
        <v>1.0999999999999999E-2</v>
      </c>
      <c r="I60" s="65">
        <f t="shared" si="16"/>
        <v>1.2E-2</v>
      </c>
      <c r="J60" s="167">
        <f t="shared" si="16"/>
        <v>1.2999999999999999E-2</v>
      </c>
      <c r="K60" s="76">
        <f t="shared" ca="1" si="16"/>
        <v>1.35E-2</v>
      </c>
      <c r="L60" s="76">
        <f t="shared" ca="1" si="16"/>
        <v>1.4E-2</v>
      </c>
      <c r="M60" s="76">
        <f t="shared" ca="1" si="16"/>
        <v>1.4500000000000001E-2</v>
      </c>
      <c r="N60" s="76">
        <f t="shared" ca="1" si="16"/>
        <v>1.5000000000000001E-2</v>
      </c>
      <c r="O60" s="76">
        <f t="shared" ca="1" si="16"/>
        <v>1.5500000000000002E-2</v>
      </c>
    </row>
    <row r="61" spans="1:15" ht="12.95" customHeight="1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95" customHeight="1" x14ac:dyDescent="0.2">
      <c r="A62" s="1" t="s">
        <v>0</v>
      </c>
      <c r="B62" s="26" t="s">
        <v>50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30"/>
    </row>
    <row r="63" spans="1:15" ht="12.95" customHeight="1" x14ac:dyDescent="0.2">
      <c r="H63" s="67"/>
      <c r="I63" s="67"/>
    </row>
    <row r="64" spans="1:15" ht="15" x14ac:dyDescent="0.35">
      <c r="H64" s="109" t="str">
        <f>+H25</f>
        <v>Fiscal Year Ended 12/31</v>
      </c>
      <c r="I64" s="110"/>
      <c r="J64" s="110"/>
      <c r="K64" s="109"/>
      <c r="L64" s="110"/>
      <c r="M64" s="110"/>
      <c r="N64" s="110"/>
      <c r="O64" s="110"/>
    </row>
    <row r="65" spans="2:24" ht="12.95" customHeight="1" x14ac:dyDescent="0.2">
      <c r="H65" s="32">
        <f>+$H$26</f>
        <v>2018</v>
      </c>
      <c r="I65" s="32">
        <f>+$I$26</f>
        <v>2019</v>
      </c>
      <c r="J65" s="33">
        <f>+$J$26</f>
        <v>2020</v>
      </c>
      <c r="K65" s="11">
        <f>+$K$26</f>
        <v>2021</v>
      </c>
      <c r="L65" s="11">
        <f>+$L$26</f>
        <v>2022</v>
      </c>
      <c r="M65" s="11">
        <f>+$M$26</f>
        <v>2023</v>
      </c>
      <c r="N65" s="11">
        <f>+$N$26</f>
        <v>2024</v>
      </c>
      <c r="O65" s="11">
        <f>+$O$26</f>
        <v>2025</v>
      </c>
    </row>
    <row r="66" spans="2:24" ht="12.95" customHeight="1" x14ac:dyDescent="0.2">
      <c r="B66" s="1" t="s">
        <v>26</v>
      </c>
      <c r="G66" s="143"/>
      <c r="H66" s="130">
        <v>408.4249542902287</v>
      </c>
      <c r="I66" s="130">
        <v>553.73390998956643</v>
      </c>
      <c r="J66" s="131">
        <v>713.27823871970929</v>
      </c>
      <c r="K66" s="118">
        <f ca="1">+J66+K146</f>
        <v>852.09385232258091</v>
      </c>
      <c r="L66" s="118">
        <f ca="1">+K66+L146</f>
        <v>1005.1733063985051</v>
      </c>
      <c r="M66" s="118">
        <f ca="1">+L66+M146</f>
        <v>1174.2259354030712</v>
      </c>
      <c r="N66" s="118">
        <f ca="1">+M66+N146</f>
        <v>1361.1944306101263</v>
      </c>
      <c r="O66" s="118">
        <f ca="1">+N66+O146</f>
        <v>1568.2902280755673</v>
      </c>
      <c r="Q66" s="46"/>
      <c r="R66" s="46"/>
      <c r="S66" s="46"/>
      <c r="T66" s="46"/>
      <c r="U66" s="46"/>
      <c r="V66" s="46"/>
      <c r="W66" s="46"/>
      <c r="X66" s="46"/>
    </row>
    <row r="67" spans="2:24" ht="12.95" customHeight="1" x14ac:dyDescent="0.2">
      <c r="B67" s="1" t="s">
        <v>51</v>
      </c>
      <c r="G67" s="143"/>
      <c r="H67" s="132">
        <v>99.445716012328774</v>
      </c>
      <c r="I67" s="132">
        <v>105.90968755313013</v>
      </c>
      <c r="J67" s="133">
        <v>113.32336568184925</v>
      </c>
      <c r="K67" s="134">
        <f ca="1">+(K101/365)*K96</f>
        <v>121.53930969378332</v>
      </c>
      <c r="L67" s="135">
        <f ca="1">+(L101/365)*L96</f>
        <v>130.65475792081708</v>
      </c>
      <c r="M67" s="135">
        <f ca="1">+(M101/365)*M96</f>
        <v>140.78050165968043</v>
      </c>
      <c r="N67" s="135">
        <f ca="1">+(N101/365)*N96</f>
        <v>152.04294179245485</v>
      </c>
      <c r="O67" s="135">
        <f ca="1">+(O101/365)*O96</f>
        <v>164.5864844903324</v>
      </c>
      <c r="Q67" s="46"/>
      <c r="R67" s="46"/>
      <c r="S67" s="46"/>
      <c r="T67" s="46"/>
      <c r="U67" s="46"/>
      <c r="V67" s="46"/>
      <c r="W67" s="46"/>
      <c r="X67" s="46"/>
    </row>
    <row r="68" spans="2:24" ht="12.95" customHeight="1" x14ac:dyDescent="0.2">
      <c r="B68" s="1" t="s">
        <v>52</v>
      </c>
      <c r="G68" s="143"/>
      <c r="H68" s="132">
        <v>135.99533150406003</v>
      </c>
      <c r="I68" s="132">
        <v>144.31960090573199</v>
      </c>
      <c r="J68" s="133">
        <v>153.87046592281493</v>
      </c>
      <c r="K68" s="136">
        <f ca="1">+K97/K102</f>
        <v>164.43458339504261</v>
      </c>
      <c r="L68" s="137">
        <f ca="1">+L97/L102</f>
        <v>176.13132399445618</v>
      </c>
      <c r="M68" s="137">
        <f ca="1">+M97/M102</f>
        <v>189.09636982928276</v>
      </c>
      <c r="N68" s="137">
        <f ca="1">+N97/N102</f>
        <v>203.4841370989021</v>
      </c>
      <c r="O68" s="137">
        <f ca="1">+O97/O102</f>
        <v>219.47059085170858</v>
      </c>
      <c r="Q68" s="46"/>
      <c r="R68" s="46"/>
      <c r="S68" s="46"/>
      <c r="T68" s="46"/>
      <c r="U68" s="46"/>
      <c r="V68" s="46"/>
      <c r="W68" s="46"/>
      <c r="X68" s="46"/>
    </row>
    <row r="69" spans="2:24" ht="12.95" customHeight="1" x14ac:dyDescent="0.2">
      <c r="B69" s="20" t="s">
        <v>53</v>
      </c>
      <c r="C69" s="20"/>
      <c r="D69" s="20"/>
      <c r="E69" s="20"/>
      <c r="F69" s="20"/>
      <c r="G69" s="158"/>
      <c r="H69" s="138">
        <v>31.457994831899995</v>
      </c>
      <c r="I69" s="138">
        <v>33.502764495973494</v>
      </c>
      <c r="J69" s="139">
        <v>35.847958010691642</v>
      </c>
      <c r="K69" s="140">
        <f ca="1">+K103*K96</f>
        <v>38.446934966466785</v>
      </c>
      <c r="L69" s="140">
        <f ca="1">+L103*L96</f>
        <v>41.330455088951801</v>
      </c>
      <c r="M69" s="140">
        <f ca="1">+M103*M96</f>
        <v>44.53356535834557</v>
      </c>
      <c r="N69" s="140">
        <f ca="1">+N103*N96</f>
        <v>48.096250587013216</v>
      </c>
      <c r="O69" s="140">
        <f ca="1">+O103*O96</f>
        <v>52.064191260441802</v>
      </c>
      <c r="Q69" s="46"/>
      <c r="R69" s="46"/>
      <c r="S69" s="46"/>
      <c r="T69" s="46"/>
      <c r="U69" s="46"/>
      <c r="V69" s="46"/>
      <c r="W69" s="46"/>
      <c r="X69" s="46"/>
    </row>
    <row r="70" spans="2:24" s="21" customFormat="1" ht="12.95" customHeight="1" x14ac:dyDescent="0.2">
      <c r="B70" s="21" t="s">
        <v>54</v>
      </c>
      <c r="G70" s="175"/>
      <c r="H70" s="147">
        <f t="shared" ref="H70:O70" si="17">+SUM(H66:H69)</f>
        <v>675.32399663851754</v>
      </c>
      <c r="I70" s="147">
        <f t="shared" si="17"/>
        <v>837.46596294440201</v>
      </c>
      <c r="J70" s="123">
        <f t="shared" si="17"/>
        <v>1016.3200283350651</v>
      </c>
      <c r="K70" s="154">
        <f t="shared" ca="1" si="17"/>
        <v>1176.5146803778737</v>
      </c>
      <c r="L70" s="147">
        <f t="shared" ca="1" si="17"/>
        <v>1353.2898434027302</v>
      </c>
      <c r="M70" s="147">
        <f t="shared" ca="1" si="17"/>
        <v>1548.63637225038</v>
      </c>
      <c r="N70" s="147">
        <f t="shared" ca="1" si="17"/>
        <v>1764.8177600884965</v>
      </c>
      <c r="O70" s="147">
        <f t="shared" ca="1" si="17"/>
        <v>2004.4114946780498</v>
      </c>
      <c r="Q70" s="46"/>
      <c r="R70" s="46"/>
      <c r="S70" s="46"/>
      <c r="T70" s="46"/>
      <c r="U70" s="46"/>
      <c r="V70" s="46"/>
      <c r="W70" s="46"/>
      <c r="X70" s="46"/>
    </row>
    <row r="71" spans="2:24" ht="12.95" customHeight="1" x14ac:dyDescent="0.2">
      <c r="G71" s="143"/>
      <c r="H71" s="143"/>
      <c r="I71" s="143"/>
      <c r="J71" s="124"/>
      <c r="K71" s="144"/>
      <c r="L71" s="143"/>
      <c r="M71" s="143"/>
      <c r="N71" s="143"/>
      <c r="O71" s="143"/>
      <c r="Q71" s="46"/>
      <c r="R71" s="46"/>
      <c r="S71" s="46"/>
      <c r="T71" s="46"/>
      <c r="U71" s="46"/>
      <c r="V71" s="46"/>
      <c r="W71" s="46"/>
      <c r="X71" s="46"/>
    </row>
    <row r="72" spans="2:24" ht="12.95" customHeight="1" x14ac:dyDescent="0.2">
      <c r="B72" s="1" t="s">
        <v>55</v>
      </c>
      <c r="G72" s="143"/>
      <c r="H72" s="132">
        <v>3.4332900556500032</v>
      </c>
      <c r="I72" s="132">
        <v>4.7218579208797529</v>
      </c>
      <c r="J72" s="133">
        <v>6.1006255366755866</v>
      </c>
      <c r="K72" s="136">
        <f ca="1">+K220</f>
        <v>7.5793538046166198</v>
      </c>
      <c r="L72" s="136">
        <f ca="1">+L220</f>
        <v>9.1689866926532275</v>
      </c>
      <c r="M72" s="136">
        <f ca="1">+M220</f>
        <v>10.881816129512675</v>
      </c>
      <c r="N72" s="136">
        <f ca="1">+N220</f>
        <v>12.731671921320874</v>
      </c>
      <c r="O72" s="136">
        <f ca="1">+O220</f>
        <v>14.734140815953253</v>
      </c>
      <c r="Q72" s="46"/>
      <c r="R72" s="46"/>
      <c r="S72" s="46"/>
      <c r="T72" s="46"/>
      <c r="U72" s="46"/>
      <c r="V72" s="46"/>
      <c r="W72" s="46"/>
      <c r="X72" s="46"/>
    </row>
    <row r="73" spans="2:24" ht="12.95" customHeight="1" x14ac:dyDescent="0.2">
      <c r="B73" s="1" t="s">
        <v>56</v>
      </c>
      <c r="G73" s="143"/>
      <c r="H73" s="132">
        <v>10</v>
      </c>
      <c r="I73" s="132">
        <v>10</v>
      </c>
      <c r="J73" s="133">
        <v>10</v>
      </c>
      <c r="K73" s="136">
        <f>+J73</f>
        <v>10</v>
      </c>
      <c r="L73" s="136">
        <f>+K73</f>
        <v>10</v>
      </c>
      <c r="M73" s="136">
        <f>+L73</f>
        <v>10</v>
      </c>
      <c r="N73" s="136">
        <f>+M73</f>
        <v>10</v>
      </c>
      <c r="O73" s="136">
        <f>+N73</f>
        <v>10</v>
      </c>
      <c r="Q73" s="46"/>
      <c r="R73" s="46"/>
      <c r="S73" s="46"/>
      <c r="T73" s="46"/>
      <c r="U73" s="46"/>
      <c r="V73" s="46"/>
      <c r="W73" s="46"/>
      <c r="X73" s="46"/>
    </row>
    <row r="74" spans="2:24" ht="12.95" customHeight="1" x14ac:dyDescent="0.2">
      <c r="B74" s="1" t="s">
        <v>57</v>
      </c>
      <c r="G74" s="143"/>
      <c r="H74" s="132">
        <v>48.396915126000003</v>
      </c>
      <c r="I74" s="132">
        <v>51.54271460919</v>
      </c>
      <c r="J74" s="133">
        <v>55.150704631833307</v>
      </c>
      <c r="K74" s="136">
        <f ca="1">+K104*K96</f>
        <v>59.149130717641221</v>
      </c>
      <c r="L74" s="137">
        <f ca="1">+L104*L96</f>
        <v>63.585315521464317</v>
      </c>
      <c r="M74" s="137">
        <f ca="1">+M104*M96</f>
        <v>68.513177474377812</v>
      </c>
      <c r="N74" s="137">
        <f ca="1">+N104*N96</f>
        <v>73.994231672328041</v>
      </c>
      <c r="O74" s="137">
        <f ca="1">+O104*O96</f>
        <v>80.098755785295097</v>
      </c>
      <c r="Q74" s="46"/>
      <c r="R74" s="46"/>
      <c r="S74" s="46"/>
      <c r="T74" s="46"/>
      <c r="U74" s="46"/>
      <c r="V74" s="46"/>
      <c r="W74" s="46"/>
      <c r="X74" s="46"/>
    </row>
    <row r="75" spans="2:24" s="93" customFormat="1" ht="12.95" customHeight="1" x14ac:dyDescent="0.2">
      <c r="B75" s="16" t="s">
        <v>58</v>
      </c>
      <c r="C75" s="16"/>
      <c r="D75" s="16"/>
      <c r="E75" s="16"/>
      <c r="F75" s="16"/>
      <c r="G75" s="234"/>
      <c r="H75" s="145">
        <f t="shared" ref="H75:O75" si="18">+SUM(H70:H74)</f>
        <v>737.15420182016749</v>
      </c>
      <c r="I75" s="145">
        <f t="shared" si="18"/>
        <v>903.73053547447171</v>
      </c>
      <c r="J75" s="146">
        <f t="shared" si="18"/>
        <v>1087.5713585035742</v>
      </c>
      <c r="K75" s="145">
        <f t="shared" ca="1" si="18"/>
        <v>1253.2431649001314</v>
      </c>
      <c r="L75" s="145">
        <f t="shared" ca="1" si="18"/>
        <v>1436.0441456168478</v>
      </c>
      <c r="M75" s="145">
        <f t="shared" ca="1" si="18"/>
        <v>1638.0313658542705</v>
      </c>
      <c r="N75" s="145">
        <f t="shared" ca="1" si="18"/>
        <v>1861.5436636821453</v>
      </c>
      <c r="O75" s="145">
        <f t="shared" ca="1" si="18"/>
        <v>2109.2443912792983</v>
      </c>
      <c r="Q75" s="119"/>
      <c r="R75" s="119"/>
      <c r="S75" s="119"/>
      <c r="T75" s="119"/>
      <c r="U75" s="119"/>
      <c r="V75" s="119"/>
      <c r="W75" s="119"/>
      <c r="X75" s="119"/>
    </row>
    <row r="76" spans="2:24" ht="12.95" customHeight="1" x14ac:dyDescent="0.2">
      <c r="G76" s="143"/>
      <c r="H76" s="143"/>
      <c r="I76" s="143"/>
      <c r="J76" s="124"/>
      <c r="K76" s="144"/>
      <c r="L76" s="143"/>
      <c r="M76" s="143"/>
      <c r="N76" s="143"/>
      <c r="O76" s="143"/>
      <c r="Q76" s="46"/>
      <c r="R76" s="46"/>
      <c r="S76" s="46"/>
      <c r="T76" s="46"/>
      <c r="U76" s="46"/>
      <c r="V76" s="46"/>
      <c r="W76" s="46"/>
      <c r="X76" s="46"/>
    </row>
    <row r="77" spans="2:24" ht="12.95" customHeight="1" x14ac:dyDescent="0.2">
      <c r="B77" s="1" t="s">
        <v>59</v>
      </c>
      <c r="G77" s="143"/>
      <c r="H77" s="132">
        <v>55.888492398928776</v>
      </c>
      <c r="I77" s="132">
        <v>59.309425029752873</v>
      </c>
      <c r="J77" s="133">
        <v>63.23443805047188</v>
      </c>
      <c r="K77" s="136">
        <f ca="1">+(K106/365)*K97</f>
        <v>67.575856189743533</v>
      </c>
      <c r="L77" s="137">
        <f ca="1">+(L106/365)*L97</f>
        <v>72.382735888132672</v>
      </c>
      <c r="M77" s="137">
        <f ca="1">+(M106/365)*M97</f>
        <v>77.710836916143606</v>
      </c>
      <c r="N77" s="137">
        <f ca="1">+(N106/365)*N97</f>
        <v>83.623617985850174</v>
      </c>
      <c r="O77" s="137">
        <f ca="1">+(O106/365)*O97</f>
        <v>90.193393500702157</v>
      </c>
      <c r="Q77" s="46"/>
      <c r="R77" s="46"/>
      <c r="S77" s="46"/>
      <c r="T77" s="46"/>
      <c r="U77" s="46"/>
      <c r="V77" s="46"/>
      <c r="W77" s="46"/>
      <c r="X77" s="46"/>
    </row>
    <row r="78" spans="2:24" ht="12.95" customHeight="1" x14ac:dyDescent="0.2">
      <c r="B78" s="1" t="s">
        <v>60</v>
      </c>
      <c r="G78" s="143"/>
      <c r="H78" s="132">
        <v>58.91235486000167</v>
      </c>
      <c r="I78" s="132">
        <v>62.480078649260122</v>
      </c>
      <c r="J78" s="133">
        <v>66.573794328701794</v>
      </c>
      <c r="K78" s="136">
        <f ca="1">+SUM(K97:K98)*K107</f>
        <v>71.100212579140646</v>
      </c>
      <c r="L78" s="137">
        <f ca="1">+SUM(L97:L98)*L107</f>
        <v>76.110033046304778</v>
      </c>
      <c r="M78" s="137">
        <f ca="1">+SUM(M97:M98)*M107</f>
        <v>81.660856231710923</v>
      </c>
      <c r="N78" s="137">
        <f ca="1">+SUM(N97:N98)*N107</f>
        <v>87.818204004510747</v>
      </c>
      <c r="O78" s="137">
        <f ca="1">+SUM(O97:O98)*O107</f>
        <v>94.656704649272498</v>
      </c>
      <c r="Q78" s="46"/>
      <c r="R78" s="46"/>
      <c r="S78" s="46"/>
      <c r="T78" s="46"/>
      <c r="U78" s="46"/>
      <c r="V78" s="46"/>
      <c r="W78" s="46"/>
      <c r="X78" s="46"/>
    </row>
    <row r="79" spans="2:24" ht="12.95" customHeight="1" x14ac:dyDescent="0.2">
      <c r="B79" s="20" t="s">
        <v>61</v>
      </c>
      <c r="C79" s="20"/>
      <c r="D79" s="20"/>
      <c r="E79" s="20"/>
      <c r="F79" s="20"/>
      <c r="G79" s="158"/>
      <c r="H79" s="138">
        <v>60.496143907500006</v>
      </c>
      <c r="I79" s="138">
        <v>64.4283932614875</v>
      </c>
      <c r="J79" s="133">
        <v>68.938380789791637</v>
      </c>
      <c r="K79" s="140">
        <f ca="1">+K96*K108</f>
        <v>73.936413397051524</v>
      </c>
      <c r="L79" s="140">
        <f ca="1">+L96*L108</f>
        <v>79.481644401830408</v>
      </c>
      <c r="M79" s="140">
        <f ca="1">+M96*M108</f>
        <v>85.641471842972265</v>
      </c>
      <c r="N79" s="140">
        <f ca="1">+N96*N108</f>
        <v>92.492789590410041</v>
      </c>
      <c r="O79" s="140">
        <f ca="1">+O96*O108</f>
        <v>100.12344473161887</v>
      </c>
      <c r="Q79" s="46"/>
      <c r="R79" s="46"/>
      <c r="S79" s="46"/>
      <c r="T79" s="46"/>
      <c r="U79" s="46"/>
      <c r="V79" s="46"/>
      <c r="W79" s="46"/>
      <c r="X79" s="46"/>
    </row>
    <row r="80" spans="2:24" ht="12.95" customHeight="1" x14ac:dyDescent="0.2">
      <c r="B80" s="21" t="s">
        <v>62</v>
      </c>
      <c r="C80" s="21"/>
      <c r="D80" s="21"/>
      <c r="E80" s="21"/>
      <c r="F80" s="21"/>
      <c r="G80" s="175"/>
      <c r="H80" s="147">
        <f t="shared" ref="H80:O80" si="19">SUM(H77:H79)</f>
        <v>175.29699116643044</v>
      </c>
      <c r="I80" s="147">
        <f t="shared" si="19"/>
        <v>186.21789694050051</v>
      </c>
      <c r="J80" s="148">
        <f t="shared" si="19"/>
        <v>198.7466131689653</v>
      </c>
      <c r="K80" s="149">
        <f t="shared" ca="1" si="19"/>
        <v>212.61248216593572</v>
      </c>
      <c r="L80" s="147">
        <f t="shared" ca="1" si="19"/>
        <v>227.97441333626784</v>
      </c>
      <c r="M80" s="147">
        <f t="shared" ca="1" si="19"/>
        <v>245.01316499082679</v>
      </c>
      <c r="N80" s="147">
        <f t="shared" ca="1" si="19"/>
        <v>263.93461158077093</v>
      </c>
      <c r="O80" s="147">
        <f t="shared" ca="1" si="19"/>
        <v>284.97354288159352</v>
      </c>
      <c r="Q80" s="46"/>
      <c r="R80" s="46"/>
      <c r="S80" s="46"/>
      <c r="T80" s="46"/>
      <c r="U80" s="46"/>
      <c r="V80" s="46"/>
      <c r="W80" s="46"/>
      <c r="X80" s="46"/>
    </row>
    <row r="81" spans="2:24" ht="12.95" customHeight="1" x14ac:dyDescent="0.2">
      <c r="G81" s="143"/>
      <c r="H81" s="143"/>
      <c r="I81" s="143"/>
      <c r="J81" s="124"/>
      <c r="K81" s="144"/>
      <c r="L81" s="143"/>
      <c r="M81" s="143"/>
      <c r="N81" s="143"/>
      <c r="O81" s="143"/>
      <c r="Q81" s="46"/>
      <c r="R81" s="46"/>
      <c r="S81" s="46"/>
      <c r="T81" s="46"/>
      <c r="U81" s="46"/>
      <c r="V81" s="46"/>
      <c r="W81" s="46"/>
      <c r="X81" s="46"/>
    </row>
    <row r="82" spans="2:24" ht="12.95" customHeight="1" x14ac:dyDescent="0.2">
      <c r="B82" s="1" t="s">
        <v>63</v>
      </c>
      <c r="G82" s="143"/>
      <c r="H82" s="132">
        <v>12.099228781500001</v>
      </c>
      <c r="I82" s="132">
        <v>12.8856786522975</v>
      </c>
      <c r="J82" s="133">
        <v>13.787676157958327</v>
      </c>
      <c r="K82" s="136">
        <f ca="1">+K96*K109</f>
        <v>14.787282679410305</v>
      </c>
      <c r="L82" s="137">
        <f ca="1">+L96*L109</f>
        <v>15.896328880366079</v>
      </c>
      <c r="M82" s="137">
        <f ca="1">+M96*M109</f>
        <v>17.128294368594453</v>
      </c>
      <c r="N82" s="137">
        <f ca="1">+N96*N109</f>
        <v>18.49855791808201</v>
      </c>
      <c r="O82" s="137">
        <f ca="1">+O96*O109</f>
        <v>20.024688946323774</v>
      </c>
      <c r="Q82" s="46"/>
      <c r="R82" s="46"/>
      <c r="S82" s="46"/>
      <c r="T82" s="46"/>
      <c r="U82" s="46"/>
      <c r="V82" s="46"/>
      <c r="W82" s="46"/>
      <c r="X82" s="46"/>
    </row>
    <row r="83" spans="2:24" ht="12.95" customHeight="1" x14ac:dyDescent="0.2">
      <c r="G83" s="143"/>
      <c r="H83" s="150"/>
      <c r="I83" s="150"/>
      <c r="J83" s="151"/>
      <c r="K83" s="144"/>
      <c r="L83" s="143"/>
      <c r="M83" s="143"/>
      <c r="N83" s="143"/>
      <c r="O83" s="143"/>
      <c r="Q83" s="46"/>
      <c r="R83" s="46"/>
      <c r="S83" s="46"/>
      <c r="T83" s="46"/>
      <c r="U83" s="46"/>
      <c r="V83" s="46"/>
      <c r="W83" s="46"/>
      <c r="X83" s="46"/>
    </row>
    <row r="84" spans="2:24" ht="12.95" customHeight="1" x14ac:dyDescent="0.2">
      <c r="B84" s="4" t="s">
        <v>12</v>
      </c>
      <c r="G84" s="143"/>
      <c r="H84" s="132">
        <v>0</v>
      </c>
      <c r="I84" s="132">
        <v>0</v>
      </c>
      <c r="J84" s="133">
        <v>0</v>
      </c>
      <c r="K84" s="152">
        <f ca="1">+K181</f>
        <v>0</v>
      </c>
      <c r="L84" s="152">
        <f ca="1">+L181</f>
        <v>0</v>
      </c>
      <c r="M84" s="152">
        <f ca="1">+M181</f>
        <v>0</v>
      </c>
      <c r="N84" s="152">
        <f ca="1">+N181</f>
        <v>0</v>
      </c>
      <c r="O84" s="152">
        <f ca="1">+O181</f>
        <v>0</v>
      </c>
      <c r="Q84" s="46"/>
      <c r="R84" s="46"/>
      <c r="S84" s="46"/>
      <c r="T84" s="46"/>
      <c r="U84" s="46"/>
      <c r="V84" s="46"/>
      <c r="W84" s="46"/>
      <c r="X84" s="46"/>
    </row>
    <row r="85" spans="2:24" ht="12.95" customHeight="1" x14ac:dyDescent="0.2">
      <c r="B85" s="168" t="s">
        <v>133</v>
      </c>
      <c r="C85" s="20"/>
      <c r="D85" s="20"/>
      <c r="E85" s="20"/>
      <c r="F85" s="20"/>
      <c r="G85" s="158"/>
      <c r="H85" s="138">
        <v>50</v>
      </c>
      <c r="I85" s="138">
        <v>50</v>
      </c>
      <c r="J85" s="139">
        <v>50</v>
      </c>
      <c r="K85" s="153">
        <f>+K192</f>
        <v>50</v>
      </c>
      <c r="L85" s="153">
        <f>+L192</f>
        <v>50</v>
      </c>
      <c r="M85" s="153">
        <f>+M192</f>
        <v>50</v>
      </c>
      <c r="N85" s="153">
        <f>+N192</f>
        <v>50</v>
      </c>
      <c r="O85" s="153">
        <f>+O192</f>
        <v>50</v>
      </c>
      <c r="Q85" s="46"/>
      <c r="R85" s="46"/>
      <c r="S85" s="46"/>
      <c r="T85" s="46"/>
      <c r="U85" s="46"/>
      <c r="V85" s="46"/>
      <c r="W85" s="46"/>
      <c r="X85" s="46"/>
    </row>
    <row r="86" spans="2:24" s="21" customFormat="1" ht="12.95" customHeight="1" x14ac:dyDescent="0.2">
      <c r="B86" s="92" t="s">
        <v>162</v>
      </c>
      <c r="C86" s="92"/>
      <c r="D86" s="92"/>
      <c r="E86" s="92"/>
      <c r="F86" s="92"/>
      <c r="G86" s="235"/>
      <c r="H86" s="154">
        <f t="shared" ref="H86:O86" si="20">SUM(H84:H85)</f>
        <v>50</v>
      </c>
      <c r="I86" s="154">
        <f t="shared" si="20"/>
        <v>50</v>
      </c>
      <c r="J86" s="123">
        <f t="shared" si="20"/>
        <v>50</v>
      </c>
      <c r="K86" s="154">
        <f t="shared" ca="1" si="20"/>
        <v>50</v>
      </c>
      <c r="L86" s="154">
        <f t="shared" ca="1" si="20"/>
        <v>50</v>
      </c>
      <c r="M86" s="154">
        <f t="shared" ca="1" si="20"/>
        <v>50</v>
      </c>
      <c r="N86" s="154">
        <f t="shared" ca="1" si="20"/>
        <v>50</v>
      </c>
      <c r="O86" s="154">
        <f t="shared" ca="1" si="20"/>
        <v>50</v>
      </c>
      <c r="Q86" s="46"/>
      <c r="R86" s="46"/>
      <c r="S86" s="46"/>
      <c r="T86" s="46"/>
      <c r="U86" s="46"/>
      <c r="V86" s="46"/>
      <c r="W86" s="46"/>
      <c r="X86" s="46"/>
    </row>
    <row r="87" spans="2:24" ht="12.95" customHeight="1" x14ac:dyDescent="0.2">
      <c r="G87" s="143"/>
      <c r="H87" s="143"/>
      <c r="I87" s="143"/>
      <c r="J87" s="124"/>
      <c r="K87" s="144"/>
      <c r="L87" s="143"/>
      <c r="M87" s="143"/>
      <c r="N87" s="143"/>
      <c r="O87" s="143"/>
      <c r="Q87" s="46"/>
      <c r="R87" s="46"/>
      <c r="S87" s="46"/>
      <c r="T87" s="46"/>
      <c r="U87" s="46"/>
      <c r="V87" s="46"/>
      <c r="W87" s="46"/>
      <c r="X87" s="46"/>
    </row>
    <row r="88" spans="2:24" ht="12.95" customHeight="1" x14ac:dyDescent="0.2">
      <c r="B88" s="1" t="s">
        <v>110</v>
      </c>
      <c r="G88" s="143"/>
      <c r="H88" s="132">
        <v>135.799404995</v>
      </c>
      <c r="I88" s="132">
        <v>145.482328278425</v>
      </c>
      <c r="J88" s="133">
        <v>155.84305619168975</v>
      </c>
      <c r="K88" s="136">
        <f ca="1">+K232</f>
        <v>166.95493687866619</v>
      </c>
      <c r="L88" s="136">
        <f ca="1">+L232</f>
        <v>178.90020861716587</v>
      </c>
      <c r="M88" s="136">
        <f ca="1">+M232</f>
        <v>191.77123891539929</v>
      </c>
      <c r="N88" s="136">
        <f ca="1">+N232</f>
        <v>205.67195163749136</v>
      </c>
      <c r="O88" s="136">
        <f ca="1">+O232</f>
        <v>220.71947315915605</v>
      </c>
      <c r="Q88" s="46"/>
      <c r="R88" s="46"/>
      <c r="S88" s="46"/>
      <c r="T88" s="46"/>
      <c r="U88" s="46"/>
      <c r="V88" s="46"/>
      <c r="W88" s="46"/>
      <c r="X88" s="46"/>
    </row>
    <row r="89" spans="2:24" ht="12.95" customHeight="1" x14ac:dyDescent="0.2">
      <c r="B89" s="1" t="s">
        <v>111</v>
      </c>
      <c r="G89" s="143"/>
      <c r="H89" s="132">
        <v>-15</v>
      </c>
      <c r="I89" s="132">
        <v>-20</v>
      </c>
      <c r="J89" s="133">
        <v>-25</v>
      </c>
      <c r="K89" s="136">
        <f>+K241</f>
        <v>-30</v>
      </c>
      <c r="L89" s="136">
        <f>+L241</f>
        <v>-35</v>
      </c>
      <c r="M89" s="136">
        <f>+M241</f>
        <v>-40</v>
      </c>
      <c r="N89" s="136">
        <f>+N241</f>
        <v>-45</v>
      </c>
      <c r="O89" s="136">
        <f>+O241</f>
        <v>-50</v>
      </c>
      <c r="Q89" s="46"/>
      <c r="R89" s="46"/>
      <c r="S89" s="46"/>
      <c r="T89" s="46"/>
      <c r="U89" s="46"/>
      <c r="V89" s="46"/>
      <c r="W89" s="46"/>
      <c r="X89" s="46"/>
    </row>
    <row r="90" spans="2:24" ht="12.95" customHeight="1" x14ac:dyDescent="0.2">
      <c r="B90" s="1" t="s">
        <v>135</v>
      </c>
      <c r="G90" s="143"/>
      <c r="H90" s="132">
        <v>378.95857687723708</v>
      </c>
      <c r="I90" s="132">
        <v>529.14463160324885</v>
      </c>
      <c r="J90" s="133">
        <v>694.19401298496064</v>
      </c>
      <c r="K90" s="136">
        <f ca="1">+K250</f>
        <v>875.70115715896929</v>
      </c>
      <c r="L90" s="136">
        <f t="shared" ref="L90:O90" ca="1" si="21">+L250</f>
        <v>1075.4777813124326</v>
      </c>
      <c r="M90" s="136">
        <f t="shared" ca="1" si="21"/>
        <v>1295.714068399335</v>
      </c>
      <c r="N90" s="136">
        <f t="shared" ca="1" si="21"/>
        <v>1538.8999958137426</v>
      </c>
      <c r="O90" s="136">
        <f t="shared" ca="1" si="21"/>
        <v>1807.8707264804368</v>
      </c>
      <c r="Q90" s="46"/>
      <c r="R90" s="46"/>
      <c r="S90" s="46"/>
      <c r="T90" s="46"/>
      <c r="U90" s="46"/>
      <c r="V90" s="46"/>
      <c r="W90" s="46"/>
      <c r="X90" s="46"/>
    </row>
    <row r="91" spans="2:24" s="92" customFormat="1" ht="12.95" customHeight="1" x14ac:dyDescent="0.2">
      <c r="B91" s="16" t="s">
        <v>64</v>
      </c>
      <c r="C91" s="16"/>
      <c r="D91" s="16"/>
      <c r="E91" s="16"/>
      <c r="F91" s="16"/>
      <c r="G91" s="234"/>
      <c r="H91" s="155">
        <f t="shared" ref="H91:O91" si="22">+SUM(H80,H82,H86,H88:H90)</f>
        <v>737.15420182016749</v>
      </c>
      <c r="I91" s="155">
        <f t="shared" si="22"/>
        <v>903.73053547447182</v>
      </c>
      <c r="J91" s="156">
        <f t="shared" si="22"/>
        <v>1087.5713585035739</v>
      </c>
      <c r="K91" s="155">
        <f t="shared" ca="1" si="22"/>
        <v>1290.0558588829815</v>
      </c>
      <c r="L91" s="155">
        <f t="shared" ca="1" si="22"/>
        <v>1513.2487321462324</v>
      </c>
      <c r="M91" s="155">
        <f t="shared" ca="1" si="22"/>
        <v>1759.6267666741555</v>
      </c>
      <c r="N91" s="155">
        <f t="shared" ca="1" si="22"/>
        <v>2032.0051169500869</v>
      </c>
      <c r="O91" s="155">
        <f t="shared" ca="1" si="22"/>
        <v>2333.5884314675104</v>
      </c>
      <c r="Q91" s="119"/>
      <c r="R91" s="119"/>
      <c r="S91" s="119"/>
      <c r="T91" s="119"/>
      <c r="U91" s="119"/>
      <c r="V91" s="119"/>
      <c r="W91" s="119"/>
      <c r="X91" s="119"/>
    </row>
    <row r="92" spans="2:24" ht="12.95" customHeight="1" x14ac:dyDescent="0.2">
      <c r="H92" s="143"/>
      <c r="I92" s="143"/>
      <c r="J92" s="124"/>
      <c r="K92" s="226"/>
      <c r="L92" s="132"/>
      <c r="M92" s="132"/>
      <c r="N92" s="132"/>
      <c r="O92" s="132"/>
    </row>
    <row r="93" spans="2:24" ht="12.95" hidden="1" customHeight="1" outlineLevel="1" x14ac:dyDescent="0.2">
      <c r="B93" s="1" t="s">
        <v>65</v>
      </c>
      <c r="H93" s="137">
        <f t="shared" ref="H93:O93" si="23">+IF(ABS(H75-H91)&gt;0.001,H75-H91,0)</f>
        <v>0</v>
      </c>
      <c r="I93" s="137">
        <f t="shared" si="23"/>
        <v>0</v>
      </c>
      <c r="J93" s="157">
        <f t="shared" si="23"/>
        <v>0</v>
      </c>
      <c r="K93" s="136">
        <f t="shared" ca="1" si="23"/>
        <v>-36.812693982850078</v>
      </c>
      <c r="L93" s="137">
        <f t="shared" ca="1" si="23"/>
        <v>-77.204586529384642</v>
      </c>
      <c r="M93" s="137">
        <f t="shared" ca="1" si="23"/>
        <v>-121.59540081988507</v>
      </c>
      <c r="N93" s="137">
        <f t="shared" ca="1" si="23"/>
        <v>-170.46145326794158</v>
      </c>
      <c r="O93" s="137">
        <f t="shared" ca="1" si="23"/>
        <v>-224.34404018821215</v>
      </c>
    </row>
    <row r="94" spans="2:24" ht="12.95" hidden="1" customHeight="1" outlineLevel="1" x14ac:dyDescent="0.2">
      <c r="H94" s="143"/>
      <c r="I94" s="143"/>
      <c r="J94" s="124"/>
      <c r="K94" s="144"/>
      <c r="L94" s="143"/>
      <c r="M94" s="143"/>
      <c r="N94" s="143"/>
      <c r="O94" s="143"/>
    </row>
    <row r="95" spans="2:24" ht="12.95" hidden="1" customHeight="1" outlineLevel="1" x14ac:dyDescent="0.2">
      <c r="B95" s="28" t="s">
        <v>66</v>
      </c>
      <c r="C95" s="20"/>
      <c r="D95" s="20"/>
      <c r="E95" s="20"/>
      <c r="F95" s="20"/>
      <c r="G95" s="20"/>
      <c r="H95" s="158"/>
      <c r="I95" s="158"/>
      <c r="J95" s="159"/>
      <c r="K95" s="158"/>
      <c r="L95" s="158"/>
      <c r="M95" s="158"/>
      <c r="N95" s="158"/>
      <c r="O95" s="158"/>
    </row>
    <row r="96" spans="2:24" ht="12.95" hidden="1" customHeight="1" outlineLevel="1" x14ac:dyDescent="0.2">
      <c r="B96" s="1" t="str">
        <f>+B27</f>
        <v>Revenue</v>
      </c>
      <c r="H96" s="137">
        <f t="shared" ref="H96:O96" si="24">+H27</f>
        <v>1209.9228781500001</v>
      </c>
      <c r="I96" s="137">
        <f t="shared" si="24"/>
        <v>1288.5678652297499</v>
      </c>
      <c r="J96" s="157">
        <f t="shared" si="24"/>
        <v>1378.7676157958326</v>
      </c>
      <c r="K96" s="136">
        <f t="shared" ca="1" si="24"/>
        <v>1478.7282679410305</v>
      </c>
      <c r="L96" s="137">
        <f t="shared" ca="1" si="24"/>
        <v>1589.6328880366079</v>
      </c>
      <c r="M96" s="137">
        <f t="shared" ca="1" si="24"/>
        <v>1712.8294368594452</v>
      </c>
      <c r="N96" s="137">
        <f t="shared" ca="1" si="24"/>
        <v>1849.8557918082008</v>
      </c>
      <c r="O96" s="137">
        <f t="shared" ca="1" si="24"/>
        <v>2002.4688946323774</v>
      </c>
    </row>
    <row r="97" spans="2:15" ht="12.95" hidden="1" customHeight="1" outlineLevel="1" x14ac:dyDescent="0.2">
      <c r="B97" s="1" t="str">
        <f>+B28</f>
        <v>Cost of Goods Sold (Cost of Sales)</v>
      </c>
      <c r="H97" s="137">
        <f t="shared" ref="H97:O97" si="25">-H28</f>
        <v>679.97665752030014</v>
      </c>
      <c r="I97" s="137">
        <f t="shared" si="25"/>
        <v>721.59800452866</v>
      </c>
      <c r="J97" s="157">
        <f t="shared" si="25"/>
        <v>769.35232961407462</v>
      </c>
      <c r="K97" s="136">
        <f t="shared" ca="1" si="25"/>
        <v>822.17291697521307</v>
      </c>
      <c r="L97" s="137">
        <f t="shared" ca="1" si="25"/>
        <v>880.65661997228085</v>
      </c>
      <c r="M97" s="137">
        <f t="shared" ca="1" si="25"/>
        <v>945.48184914641388</v>
      </c>
      <c r="N97" s="137">
        <f t="shared" ca="1" si="25"/>
        <v>1017.4206854945105</v>
      </c>
      <c r="O97" s="137">
        <f t="shared" ca="1" si="25"/>
        <v>1097.3529542585429</v>
      </c>
    </row>
    <row r="98" spans="2:15" ht="12.95" hidden="1" customHeight="1" outlineLevel="1" x14ac:dyDescent="0.2">
      <c r="B98" s="20" t="str">
        <f>+B30</f>
        <v>SG&amp;A</v>
      </c>
      <c r="C98" s="20"/>
      <c r="D98" s="20"/>
      <c r="E98" s="20"/>
      <c r="F98" s="20"/>
      <c r="G98" s="20"/>
      <c r="H98" s="140">
        <f t="shared" ref="H98:O98" si="26">-H30</f>
        <v>335.75359868662508</v>
      </c>
      <c r="I98" s="140">
        <f t="shared" si="26"/>
        <v>355.64473080341099</v>
      </c>
      <c r="J98" s="122">
        <f t="shared" si="26"/>
        <v>378.47171053595611</v>
      </c>
      <c r="K98" s="140">
        <f t="shared" ca="1" si="26"/>
        <v>403.69281714790134</v>
      </c>
      <c r="L98" s="140">
        <f t="shared" ca="1" si="26"/>
        <v>431.58532910193907</v>
      </c>
      <c r="M98" s="140">
        <f t="shared" ca="1" si="26"/>
        <v>462.46394795205021</v>
      </c>
      <c r="N98" s="140">
        <f t="shared" ca="1" si="26"/>
        <v>496.68628010050196</v>
      </c>
      <c r="O98" s="140">
        <f t="shared" ca="1" si="26"/>
        <v>534.65919486684481</v>
      </c>
    </row>
    <row r="99" spans="2:15" ht="12.95" hidden="1" customHeight="1" outlineLevel="1" x14ac:dyDescent="0.2">
      <c r="J99" s="161"/>
      <c r="K99" s="93"/>
    </row>
    <row r="100" spans="2:15" s="21" customFormat="1" ht="12.95" customHeight="1" collapsed="1" x14ac:dyDescent="0.2">
      <c r="B100" s="28" t="s">
        <v>67</v>
      </c>
      <c r="C100" s="28"/>
      <c r="D100" s="28"/>
      <c r="E100" s="28"/>
      <c r="F100" s="28"/>
      <c r="G100" s="28"/>
      <c r="H100" s="28"/>
      <c r="I100" s="28"/>
      <c r="J100" s="162"/>
      <c r="K100" s="28"/>
      <c r="L100" s="28"/>
      <c r="M100" s="28"/>
      <c r="N100" s="28"/>
      <c r="O100" s="28"/>
    </row>
    <row r="101" spans="2:15" ht="12.95" customHeight="1" x14ac:dyDescent="0.2">
      <c r="B101" s="1" t="s">
        <v>68</v>
      </c>
      <c r="H101" s="72">
        <f>+(H67/H96)*365</f>
        <v>30</v>
      </c>
      <c r="I101" s="72">
        <f>+(I67/I96)*365</f>
        <v>30</v>
      </c>
      <c r="J101" s="163">
        <f>+(J67/J96)*365</f>
        <v>30</v>
      </c>
      <c r="K101" s="73">
        <v>30</v>
      </c>
      <c r="L101" s="74">
        <v>30</v>
      </c>
      <c r="M101" s="74">
        <v>30</v>
      </c>
      <c r="N101" s="74">
        <v>30</v>
      </c>
      <c r="O101" s="74">
        <v>30</v>
      </c>
    </row>
    <row r="102" spans="2:15" ht="12.95" customHeight="1" x14ac:dyDescent="0.2">
      <c r="B102" s="1" t="s">
        <v>69</v>
      </c>
      <c r="H102" s="75">
        <f>+H97/H68</f>
        <v>5</v>
      </c>
      <c r="I102" s="75">
        <f>+I97/I68</f>
        <v>5</v>
      </c>
      <c r="J102" s="164">
        <f>+J97/J68</f>
        <v>5</v>
      </c>
      <c r="K102" s="112">
        <v>5</v>
      </c>
      <c r="L102" s="19">
        <v>5</v>
      </c>
      <c r="M102" s="19">
        <v>5</v>
      </c>
      <c r="N102" s="19">
        <v>5</v>
      </c>
      <c r="O102" s="19">
        <v>5</v>
      </c>
    </row>
    <row r="103" spans="2:15" ht="12.95" customHeight="1" x14ac:dyDescent="0.2">
      <c r="B103" s="1" t="s">
        <v>70</v>
      </c>
      <c r="H103" s="61">
        <f>+H69/H96</f>
        <v>2.5999999999999995E-2</v>
      </c>
      <c r="I103" s="61">
        <f>+I69/I96</f>
        <v>2.5999999999999995E-2</v>
      </c>
      <c r="J103" s="62">
        <f>+J69/J96</f>
        <v>2.5999999999999995E-2</v>
      </c>
      <c r="K103" s="113">
        <v>2.5999999999999995E-2</v>
      </c>
      <c r="L103" s="22">
        <v>2.5999999999999995E-2</v>
      </c>
      <c r="M103" s="22">
        <v>2.5999999999999995E-2</v>
      </c>
      <c r="N103" s="22">
        <v>2.5999999999999995E-2</v>
      </c>
      <c r="O103" s="22">
        <v>2.5999999999999995E-2</v>
      </c>
    </row>
    <row r="104" spans="2:15" ht="12.95" customHeight="1" x14ac:dyDescent="0.2">
      <c r="B104" s="1" t="s">
        <v>164</v>
      </c>
      <c r="H104" s="129">
        <f>+H74/H96</f>
        <v>0.04</v>
      </c>
      <c r="I104" s="129">
        <f>+I74/I96</f>
        <v>0.04</v>
      </c>
      <c r="J104" s="165">
        <f>+J74/J96</f>
        <v>0.04</v>
      </c>
      <c r="K104" s="113">
        <v>0.04</v>
      </c>
      <c r="L104" s="22">
        <v>0.04</v>
      </c>
      <c r="M104" s="22">
        <v>0.04</v>
      </c>
      <c r="N104" s="22">
        <v>0.04</v>
      </c>
      <c r="O104" s="22">
        <v>0.04</v>
      </c>
    </row>
    <row r="105" spans="2:15" ht="3" customHeight="1" x14ac:dyDescent="0.2">
      <c r="H105" s="29"/>
      <c r="I105" s="29"/>
      <c r="J105" s="59"/>
      <c r="K105" s="93"/>
    </row>
    <row r="106" spans="2:15" ht="12.95" customHeight="1" x14ac:dyDescent="0.2">
      <c r="B106" s="1" t="s">
        <v>71</v>
      </c>
      <c r="H106" s="72">
        <f>+(H77/H97)*365</f>
        <v>30</v>
      </c>
      <c r="I106" s="72">
        <f>+(I77/I97)*365</f>
        <v>30</v>
      </c>
      <c r="J106" s="166">
        <f>+(J77/J97)*365</f>
        <v>30</v>
      </c>
      <c r="K106" s="114">
        <v>30</v>
      </c>
      <c r="L106" s="74">
        <v>30</v>
      </c>
      <c r="M106" s="74">
        <v>30</v>
      </c>
      <c r="N106" s="74">
        <v>30</v>
      </c>
      <c r="O106" s="74">
        <v>30</v>
      </c>
    </row>
    <row r="107" spans="2:15" ht="12.95" customHeight="1" x14ac:dyDescent="0.2">
      <c r="B107" s="1" t="s">
        <v>72</v>
      </c>
      <c r="H107" s="61">
        <f>+H78/SUM(H97:H98)</f>
        <v>5.800000000000001E-2</v>
      </c>
      <c r="I107" s="61">
        <f>+I78/SUM(I97:I98)</f>
        <v>5.800000000000001E-2</v>
      </c>
      <c r="J107" s="62">
        <f>+J78/SUM(J97:J98)</f>
        <v>5.8000000000000017E-2</v>
      </c>
      <c r="K107" s="113">
        <v>5.800000000000001E-2</v>
      </c>
      <c r="L107" s="22">
        <v>5.800000000000001E-2</v>
      </c>
      <c r="M107" s="22">
        <v>5.800000000000001E-2</v>
      </c>
      <c r="N107" s="22">
        <v>5.800000000000001E-2</v>
      </c>
      <c r="O107" s="22">
        <v>5.800000000000001E-2</v>
      </c>
    </row>
    <row r="108" spans="2:15" ht="12.95" customHeight="1" x14ac:dyDescent="0.2">
      <c r="B108" s="1" t="s">
        <v>73</v>
      </c>
      <c r="H108" s="61">
        <f>+H79/H96</f>
        <v>0.05</v>
      </c>
      <c r="I108" s="61">
        <f>+I79/I96</f>
        <v>0.05</v>
      </c>
      <c r="J108" s="62">
        <f>+J79/J96</f>
        <v>0.05</v>
      </c>
      <c r="K108" s="113">
        <v>0.05</v>
      </c>
      <c r="L108" s="22">
        <v>0.05</v>
      </c>
      <c r="M108" s="22">
        <v>0.05</v>
      </c>
      <c r="N108" s="22">
        <v>0.05</v>
      </c>
      <c r="O108" s="22">
        <v>0.05</v>
      </c>
    </row>
    <row r="109" spans="2:15" ht="12.95" customHeight="1" x14ac:dyDescent="0.2">
      <c r="B109" s="1" t="s">
        <v>163</v>
      </c>
      <c r="H109" s="61">
        <f>+H82/H96</f>
        <v>0.01</v>
      </c>
      <c r="I109" s="61">
        <f>+I82/I96</f>
        <v>0.01</v>
      </c>
      <c r="J109" s="62">
        <f>+J82/J96</f>
        <v>0.01</v>
      </c>
      <c r="K109" s="113">
        <v>0.01</v>
      </c>
      <c r="L109" s="22">
        <v>0.01</v>
      </c>
      <c r="M109" s="22">
        <v>0.01</v>
      </c>
      <c r="N109" s="22">
        <v>0.01</v>
      </c>
      <c r="O109" s="22">
        <v>0.01</v>
      </c>
    </row>
    <row r="110" spans="2:15" ht="3" customHeight="1" x14ac:dyDescent="0.2">
      <c r="J110" s="35"/>
      <c r="K110" s="93"/>
    </row>
    <row r="111" spans="2:15" ht="12.95" customHeight="1" x14ac:dyDescent="0.2">
      <c r="B111" s="1" t="s">
        <v>74</v>
      </c>
      <c r="H111" s="17">
        <f t="shared" ref="H111:O111" si="27">+(H70-H66)-H80</f>
        <v>91.6020511818584</v>
      </c>
      <c r="I111" s="17">
        <f t="shared" si="27"/>
        <v>97.514156014335072</v>
      </c>
      <c r="J111" s="40">
        <f t="shared" si="27"/>
        <v>104.29517644639051</v>
      </c>
      <c r="K111" s="115">
        <f t="shared" ca="1" si="27"/>
        <v>111.80834588935704</v>
      </c>
      <c r="L111" s="17">
        <f t="shared" ca="1" si="27"/>
        <v>120.14212366795721</v>
      </c>
      <c r="M111" s="17">
        <f t="shared" ca="1" si="27"/>
        <v>129.39727185648201</v>
      </c>
      <c r="N111" s="17">
        <f t="shared" ca="1" si="27"/>
        <v>139.68871789759919</v>
      </c>
      <c r="O111" s="17">
        <f t="shared" ca="1" si="27"/>
        <v>151.14772372088908</v>
      </c>
    </row>
    <row r="112" spans="2:15" ht="12.95" customHeight="1" x14ac:dyDescent="0.2">
      <c r="B112" s="20" t="s">
        <v>165</v>
      </c>
      <c r="C112" s="20"/>
      <c r="D112" s="20"/>
      <c r="E112" s="20"/>
      <c r="F112" s="20"/>
      <c r="G112" s="20"/>
      <c r="H112" s="76">
        <f t="shared" ref="H112:O112" si="28">+H111/H96</f>
        <v>7.570900000000004E-2</v>
      </c>
      <c r="I112" s="76">
        <f t="shared" si="28"/>
        <v>7.5676383561643787E-2</v>
      </c>
      <c r="J112" s="167">
        <f t="shared" si="28"/>
        <v>7.5643767123287659E-2</v>
      </c>
      <c r="K112" s="76">
        <f t="shared" ca="1" si="28"/>
        <v>7.5611150684931516E-2</v>
      </c>
      <c r="L112" s="76">
        <f t="shared" ca="1" si="28"/>
        <v>7.5578534246575318E-2</v>
      </c>
      <c r="M112" s="76">
        <f t="shared" ca="1" si="28"/>
        <v>7.554591780821919E-2</v>
      </c>
      <c r="N112" s="76">
        <f t="shared" ca="1" si="28"/>
        <v>7.5513301369862992E-2</v>
      </c>
      <c r="O112" s="76">
        <f t="shared" ca="1" si="28"/>
        <v>7.5480684931506753E-2</v>
      </c>
    </row>
    <row r="113" spans="1:15" ht="12.95" customHeight="1" x14ac:dyDescent="0.2">
      <c r="B113" s="20"/>
      <c r="C113" s="20"/>
      <c r="D113" s="20"/>
      <c r="E113" s="20"/>
      <c r="F113" s="20"/>
      <c r="G113" s="20"/>
      <c r="H113" s="20"/>
      <c r="I113" s="20"/>
      <c r="K113" s="20"/>
      <c r="L113" s="20"/>
      <c r="M113" s="20"/>
      <c r="N113" s="20"/>
      <c r="O113" s="20"/>
    </row>
    <row r="114" spans="1:15" ht="12.95" customHeight="1" x14ac:dyDescent="0.2">
      <c r="A114" s="1" t="s">
        <v>0</v>
      </c>
      <c r="B114" s="26" t="s">
        <v>75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30"/>
    </row>
    <row r="116" spans="1:15" ht="12.95" customHeight="1" x14ac:dyDescent="0.35">
      <c r="I116" s="10"/>
      <c r="J116" s="10"/>
      <c r="K116" s="9" t="str">
        <f>+H64</f>
        <v>Fiscal Year Ended 12/31</v>
      </c>
      <c r="L116" s="10"/>
      <c r="M116" s="10"/>
      <c r="N116" s="10"/>
      <c r="O116" s="10"/>
    </row>
    <row r="117" spans="1:15" ht="12.95" customHeight="1" x14ac:dyDescent="0.2">
      <c r="B117" s="18" t="s">
        <v>76</v>
      </c>
      <c r="K117" s="11">
        <f>+$K$26</f>
        <v>2021</v>
      </c>
      <c r="L117" s="11">
        <f>+$L$26</f>
        <v>2022</v>
      </c>
      <c r="M117" s="11">
        <f>+$M$26</f>
        <v>2023</v>
      </c>
      <c r="N117" s="11">
        <f>+$N$26</f>
        <v>2024</v>
      </c>
      <c r="O117" s="11">
        <f>+$O$26</f>
        <v>2025</v>
      </c>
    </row>
    <row r="118" spans="1:15" ht="12.95" customHeight="1" x14ac:dyDescent="0.2">
      <c r="B118" s="1" t="s">
        <v>39</v>
      </c>
      <c r="H118" s="17"/>
      <c r="I118" s="17"/>
      <c r="J118" s="17"/>
      <c r="K118" s="160">
        <f ca="1">+K36</f>
        <v>191.06015176211434</v>
      </c>
      <c r="L118" s="160">
        <f ca="1">+L36</f>
        <v>210.29118331943513</v>
      </c>
      <c r="M118" s="160">
        <f ca="1">+M36</f>
        <v>231.82767061779185</v>
      </c>
      <c r="N118" s="160">
        <f ca="1">+N36</f>
        <v>255.98518675200819</v>
      </c>
      <c r="O118" s="160">
        <f ca="1">+O36</f>
        <v>283.12708491230944</v>
      </c>
    </row>
    <row r="119" spans="1:15" ht="12.95" customHeight="1" x14ac:dyDescent="0.2">
      <c r="B119" s="1" t="s">
        <v>77</v>
      </c>
      <c r="H119" s="23"/>
      <c r="I119" s="23"/>
      <c r="J119" s="23"/>
      <c r="K119" s="137">
        <f ca="1">-K219</f>
        <v>19.962831617203911</v>
      </c>
      <c r="L119" s="137">
        <f ca="1">-L219</f>
        <v>22.254860432512512</v>
      </c>
      <c r="M119" s="137">
        <f ca="1">-M219</f>
        <v>24.836026834461958</v>
      </c>
      <c r="N119" s="137">
        <f ca="1">-N219</f>
        <v>27.747836877123014</v>
      </c>
      <c r="O119" s="137">
        <f ca="1">-O219</f>
        <v>31.038267866801853</v>
      </c>
    </row>
    <row r="120" spans="1:15" ht="12.95" customHeight="1" x14ac:dyDescent="0.2">
      <c r="K120" s="143"/>
      <c r="L120" s="143"/>
      <c r="M120" s="143"/>
      <c r="N120" s="143"/>
      <c r="O120" s="143"/>
    </row>
    <row r="121" spans="1:15" ht="12.95" customHeight="1" x14ac:dyDescent="0.2">
      <c r="B121" s="18" t="s">
        <v>78</v>
      </c>
      <c r="K121" s="143"/>
      <c r="L121" s="143"/>
      <c r="M121" s="143"/>
      <c r="N121" s="143"/>
      <c r="O121" s="143"/>
    </row>
    <row r="122" spans="1:15" ht="12.95" customHeight="1" x14ac:dyDescent="0.2">
      <c r="B122" s="1" t="str">
        <f>+"(Increase) / Decrease in "&amp;B67</f>
        <v>(Increase) / Decrease in Accounts Receivable</v>
      </c>
      <c r="H122" s="23"/>
      <c r="I122" s="23"/>
      <c r="J122" s="23"/>
      <c r="K122" s="137">
        <f t="shared" ref="K122:O123" ca="1" si="29">+(J67-K67)</f>
        <v>-8.2159440119340701</v>
      </c>
      <c r="L122" s="137">
        <f t="shared" ca="1" si="29"/>
        <v>-9.1154482270337525</v>
      </c>
      <c r="M122" s="137">
        <f t="shared" ca="1" si="29"/>
        <v>-10.125743738863349</v>
      </c>
      <c r="N122" s="137">
        <f t="shared" ca="1" si="29"/>
        <v>-11.262440132774429</v>
      </c>
      <c r="O122" s="137">
        <f t="shared" ca="1" si="29"/>
        <v>-12.543542697877541</v>
      </c>
    </row>
    <row r="123" spans="1:15" ht="12.95" customHeight="1" x14ac:dyDescent="0.2">
      <c r="B123" s="1" t="str">
        <f>+"(Increase) / Decrease in "&amp;B68</f>
        <v>(Increase) / Decrease in Inventories</v>
      </c>
      <c r="H123" s="23"/>
      <c r="I123" s="23"/>
      <c r="J123" s="23"/>
      <c r="K123" s="137">
        <f t="shared" ca="1" si="29"/>
        <v>-10.564117472227679</v>
      </c>
      <c r="L123" s="137">
        <f t="shared" ca="1" si="29"/>
        <v>-11.696740599413573</v>
      </c>
      <c r="M123" s="137">
        <f t="shared" ca="1" si="29"/>
        <v>-12.965045834826583</v>
      </c>
      <c r="N123" s="137">
        <f t="shared" ca="1" si="29"/>
        <v>-14.387767269619332</v>
      </c>
      <c r="O123" s="137">
        <f t="shared" ca="1" si="29"/>
        <v>-15.986453752806483</v>
      </c>
    </row>
    <row r="124" spans="1:15" ht="12.95" customHeight="1" x14ac:dyDescent="0.2">
      <c r="B124" s="1" t="str">
        <f>+"(Increase) / Decrease in "&amp;B69</f>
        <v>(Increase) / Decrease in Prepaid Expenses</v>
      </c>
      <c r="H124" s="23"/>
      <c r="I124" s="23"/>
      <c r="J124" s="23"/>
      <c r="K124" s="137">
        <f ca="1">+(J68-K68)</f>
        <v>-10.564117472227679</v>
      </c>
      <c r="L124" s="137">
        <f t="shared" ref="L124:O124" ca="1" si="30">+(K68-L68)</f>
        <v>-11.696740599413573</v>
      </c>
      <c r="M124" s="137">
        <f t="shared" ca="1" si="30"/>
        <v>-12.965045834826583</v>
      </c>
      <c r="N124" s="137">
        <f t="shared" ca="1" si="30"/>
        <v>-14.387767269619332</v>
      </c>
      <c r="O124" s="137">
        <f t="shared" ca="1" si="30"/>
        <v>-15.986453752806483</v>
      </c>
    </row>
    <row r="125" spans="1:15" ht="12.95" customHeight="1" x14ac:dyDescent="0.2">
      <c r="B125" s="1" t="str">
        <f>+"(Increase) / Decrease in "&amp;B74</f>
        <v>(Increase) / Decrease in Other Long-Term (Operating) Assets</v>
      </c>
      <c r="H125" s="23"/>
      <c r="I125" s="23"/>
      <c r="J125" s="23"/>
      <c r="K125" s="137">
        <f ca="1">+(J74-K74)</f>
        <v>-3.9984260858079139</v>
      </c>
      <c r="L125" s="137">
        <f ca="1">+(K74-L74)</f>
        <v>-4.436184803823096</v>
      </c>
      <c r="M125" s="137">
        <f ca="1">+(L74-M74)</f>
        <v>-4.9278619529134957</v>
      </c>
      <c r="N125" s="137">
        <f ca="1">+(M74-N74)</f>
        <v>-5.481054197950229</v>
      </c>
      <c r="O125" s="137">
        <f ca="1">+(N74-O74)</f>
        <v>-6.1045241129670558</v>
      </c>
    </row>
    <row r="126" spans="1:15" ht="12.95" customHeight="1" x14ac:dyDescent="0.2">
      <c r="B126" s="1" t="str">
        <f>+"Increase / (Decrease) in "&amp;B77</f>
        <v>Increase / (Decrease) in Accounts Payable</v>
      </c>
      <c r="H126" s="23"/>
      <c r="I126" s="23"/>
      <c r="J126" s="23"/>
      <c r="K126" s="137">
        <f ca="1">+J77-K77</f>
        <v>-4.3414181392716529</v>
      </c>
      <c r="L126" s="137">
        <f t="shared" ref="L126:O127" ca="1" si="31">+K77-L77</f>
        <v>-4.8068796983891389</v>
      </c>
      <c r="M126" s="137">
        <f t="shared" ca="1" si="31"/>
        <v>-5.3281010280109342</v>
      </c>
      <c r="N126" s="137">
        <f t="shared" ca="1" si="31"/>
        <v>-5.9127810697065684</v>
      </c>
      <c r="O126" s="137">
        <f t="shared" ca="1" si="31"/>
        <v>-6.5697755148519832</v>
      </c>
    </row>
    <row r="127" spans="1:15" ht="12.95" customHeight="1" x14ac:dyDescent="0.2">
      <c r="B127" s="1" t="str">
        <f>+"Increase / (Decrease) in "&amp;B78</f>
        <v>Increase / (Decrease) in Accrued Liabilities</v>
      </c>
      <c r="H127" s="23"/>
      <c r="I127" s="23"/>
      <c r="J127" s="23"/>
      <c r="K127" s="137">
        <f ca="1">+J78-K78</f>
        <v>-4.5264182504388515</v>
      </c>
      <c r="L127" s="137">
        <f t="shared" ca="1" si="31"/>
        <v>-5.0098204671641327</v>
      </c>
      <c r="M127" s="137">
        <f t="shared" ca="1" si="31"/>
        <v>-5.5508231854061449</v>
      </c>
      <c r="N127" s="137">
        <f t="shared" ca="1" si="31"/>
        <v>-6.1573477727998238</v>
      </c>
      <c r="O127" s="137">
        <f t="shared" ca="1" si="31"/>
        <v>-6.8385006447617513</v>
      </c>
    </row>
    <row r="128" spans="1:15" ht="12.95" customHeight="1" x14ac:dyDescent="0.2">
      <c r="B128" s="1" t="str">
        <f>+"Increase / (Decrease) in "&amp;B79</f>
        <v>Increase / (Decrease) in Deferred Revenue</v>
      </c>
      <c r="H128" s="23"/>
      <c r="I128" s="23"/>
      <c r="J128" s="23"/>
      <c r="K128" s="137">
        <f ca="1">+K79-J79</f>
        <v>4.9980326072598871</v>
      </c>
      <c r="L128" s="137">
        <f ca="1">+L79-K79</f>
        <v>5.5452310047788842</v>
      </c>
      <c r="M128" s="137">
        <f ca="1">+M79-L79</f>
        <v>6.1598274411418572</v>
      </c>
      <c r="N128" s="137">
        <f ca="1">+N79-M79</f>
        <v>6.8513177474377756</v>
      </c>
      <c r="O128" s="137">
        <f ca="1">+O79-N79</f>
        <v>7.6306551412088339</v>
      </c>
    </row>
    <row r="129" spans="2:20" ht="12.95" customHeight="1" x14ac:dyDescent="0.2">
      <c r="B129" s="20" t="str">
        <f>+"Increase / (Decrease) in "&amp;B82</f>
        <v>Increase / (Decrease) in Other Long-Term (Operating) Liabilities</v>
      </c>
      <c r="C129" s="20"/>
      <c r="D129" s="20"/>
      <c r="E129" s="20"/>
      <c r="F129" s="20"/>
      <c r="G129" s="20"/>
      <c r="H129" s="77"/>
      <c r="I129" s="77"/>
      <c r="J129" s="77"/>
      <c r="K129" s="140">
        <f ca="1">+K82-J82</f>
        <v>0.99960652145197848</v>
      </c>
      <c r="L129" s="140">
        <f ca="1">+L82-K82</f>
        <v>1.109046200955774</v>
      </c>
      <c r="M129" s="140">
        <f ca="1">+M82-L82</f>
        <v>1.2319654882283739</v>
      </c>
      <c r="N129" s="140">
        <f ca="1">+N82-M82</f>
        <v>1.3702635494875572</v>
      </c>
      <c r="O129" s="140">
        <f ca="1">+O82-N82</f>
        <v>1.5261310282417639</v>
      </c>
    </row>
    <row r="130" spans="2:20" ht="12.95" customHeight="1" x14ac:dyDescent="0.2">
      <c r="B130" s="21" t="s">
        <v>79</v>
      </c>
      <c r="C130" s="21"/>
      <c r="D130" s="21"/>
      <c r="E130" s="21"/>
      <c r="F130" s="21"/>
      <c r="G130" s="21"/>
      <c r="H130" s="128"/>
      <c r="I130" s="128"/>
      <c r="J130" s="128"/>
      <c r="K130" s="147">
        <f ca="1">+SUM(K122:K129)</f>
        <v>-36.212802303195978</v>
      </c>
      <c r="L130" s="147">
        <f ca="1">+SUM(L122:L129)</f>
        <v>-40.107537189502608</v>
      </c>
      <c r="M130" s="147">
        <f ca="1">+SUM(M122:M129)</f>
        <v>-44.470828645476857</v>
      </c>
      <c r="N130" s="147">
        <f ca="1">+SUM(N122:N129)</f>
        <v>-49.367576415544377</v>
      </c>
      <c r="O130" s="147">
        <f ca="1">+SUM(O122:O129)</f>
        <v>-54.872464306620699</v>
      </c>
    </row>
    <row r="131" spans="2:20" ht="12.95" customHeight="1" x14ac:dyDescent="0.2">
      <c r="K131" s="143"/>
      <c r="L131" s="143"/>
      <c r="M131" s="143"/>
      <c r="N131" s="143"/>
      <c r="O131" s="143"/>
    </row>
    <row r="132" spans="2:20" s="93" customFormat="1" ht="12.95" customHeight="1" x14ac:dyDescent="0.2">
      <c r="B132" s="16" t="s">
        <v>166</v>
      </c>
      <c r="C132" s="16"/>
      <c r="D132" s="16"/>
      <c r="E132" s="16"/>
      <c r="F132" s="16"/>
      <c r="G132" s="16"/>
      <c r="H132" s="71"/>
      <c r="I132" s="71"/>
      <c r="J132" s="71"/>
      <c r="K132" s="155">
        <f ca="1">+SUM(K118:K119,K130)</f>
        <v>174.81018107612226</v>
      </c>
      <c r="L132" s="155">
        <f ca="1">+SUM(L118:L119,L130)</f>
        <v>192.43850656244504</v>
      </c>
      <c r="M132" s="155">
        <f ca="1">+SUM(M118:M119,M130)</f>
        <v>212.19286880677697</v>
      </c>
      <c r="N132" s="155">
        <f ca="1">+SUM(N118:N119,N130)</f>
        <v>234.36544721358683</v>
      </c>
      <c r="O132" s="155">
        <f ca="1">+SUM(O118:O119,O130)</f>
        <v>259.29288847249057</v>
      </c>
    </row>
    <row r="133" spans="2:20" ht="12.95" customHeight="1" x14ac:dyDescent="0.2">
      <c r="K133" s="143"/>
      <c r="L133" s="143"/>
      <c r="M133" s="143"/>
      <c r="N133" s="143"/>
      <c r="O133" s="143"/>
    </row>
    <row r="134" spans="2:20" ht="12.95" customHeight="1" x14ac:dyDescent="0.2">
      <c r="B134" s="18" t="s">
        <v>80</v>
      </c>
      <c r="K134" s="143"/>
      <c r="L134" s="143"/>
      <c r="M134" s="143"/>
      <c r="N134" s="143"/>
      <c r="O134" s="143"/>
    </row>
    <row r="135" spans="2:20" ht="12.95" customHeight="1" x14ac:dyDescent="0.2">
      <c r="B135" s="1" t="s">
        <v>16</v>
      </c>
      <c r="H135" s="17"/>
      <c r="I135" s="17"/>
      <c r="J135" s="17"/>
      <c r="K135" s="160">
        <f ca="1">-K218</f>
        <v>-21.441559885144944</v>
      </c>
      <c r="L135" s="160">
        <f ca="1">-L218</f>
        <v>-23.84449332054912</v>
      </c>
      <c r="M135" s="160">
        <f ca="1">-M218</f>
        <v>-26.548856271321402</v>
      </c>
      <c r="N135" s="160">
        <f ca="1">-N218</f>
        <v>-29.597692668931213</v>
      </c>
      <c r="O135" s="160">
        <f ca="1">-O218</f>
        <v>-33.040736761434232</v>
      </c>
    </row>
    <row r="136" spans="2:20" s="92" customFormat="1" ht="12.95" customHeight="1" x14ac:dyDescent="0.2">
      <c r="B136" s="16" t="s">
        <v>167</v>
      </c>
      <c r="C136" s="16"/>
      <c r="D136" s="16"/>
      <c r="E136" s="16"/>
      <c r="F136" s="16"/>
      <c r="G136" s="16"/>
      <c r="H136" s="71"/>
      <c r="I136" s="71"/>
      <c r="J136" s="71"/>
      <c r="K136" s="155">
        <f ca="1">SUM(K135)</f>
        <v>-21.441559885144944</v>
      </c>
      <c r="L136" s="155">
        <f ca="1">SUM(L135)</f>
        <v>-23.84449332054912</v>
      </c>
      <c r="M136" s="155">
        <f ca="1">SUM(M135)</f>
        <v>-26.548856271321402</v>
      </c>
      <c r="N136" s="155">
        <f ca="1">SUM(N135)</f>
        <v>-29.597692668931213</v>
      </c>
      <c r="O136" s="155">
        <f ca="1">SUM(O135)</f>
        <v>-33.040736761434232</v>
      </c>
    </row>
    <row r="137" spans="2:20" ht="12.95" customHeight="1" x14ac:dyDescent="0.2">
      <c r="K137" s="143"/>
      <c r="L137" s="143"/>
      <c r="M137" s="143"/>
      <c r="N137" s="143"/>
      <c r="O137" s="143"/>
    </row>
    <row r="138" spans="2:20" ht="12.95" customHeight="1" x14ac:dyDescent="0.2">
      <c r="B138" s="18" t="s">
        <v>81</v>
      </c>
      <c r="K138" s="160"/>
      <c r="L138" s="160"/>
      <c r="M138" s="160"/>
      <c r="N138" s="160"/>
      <c r="O138" s="160"/>
    </row>
    <row r="139" spans="2:20" ht="12.95" customHeight="1" x14ac:dyDescent="0.2">
      <c r="B139" s="1" t="s">
        <v>82</v>
      </c>
      <c r="K139" s="160">
        <f>+K154</f>
        <v>0</v>
      </c>
      <c r="L139" s="160">
        <f t="shared" ref="L139:O139" si="32">+L154</f>
        <v>0</v>
      </c>
      <c r="M139" s="160">
        <f t="shared" si="32"/>
        <v>0</v>
      </c>
      <c r="N139" s="160">
        <f t="shared" si="32"/>
        <v>0</v>
      </c>
      <c r="O139" s="160">
        <f t="shared" si="32"/>
        <v>0</v>
      </c>
    </row>
    <row r="140" spans="2:20" s="93" customFormat="1" ht="12.95" customHeight="1" x14ac:dyDescent="0.2">
      <c r="B140" s="93" t="s">
        <v>156</v>
      </c>
      <c r="K140" s="136">
        <f ca="1">+K172</f>
        <v>0</v>
      </c>
      <c r="L140" s="136">
        <f t="shared" ref="L140:O140" ca="1" si="33">+L172</f>
        <v>0</v>
      </c>
      <c r="M140" s="136">
        <f t="shared" ca="1" si="33"/>
        <v>0</v>
      </c>
      <c r="N140" s="136">
        <f t="shared" ca="1" si="33"/>
        <v>0</v>
      </c>
      <c r="O140" s="136">
        <f t="shared" ca="1" si="33"/>
        <v>0</v>
      </c>
    </row>
    <row r="141" spans="2:20" s="93" customFormat="1" ht="12.95" customHeight="1" x14ac:dyDescent="0.2">
      <c r="B141" s="93" t="s">
        <v>112</v>
      </c>
      <c r="K141" s="136">
        <f t="shared" ref="K141:O143" si="34">+K160</f>
        <v>0</v>
      </c>
      <c r="L141" s="136">
        <f t="shared" si="34"/>
        <v>0</v>
      </c>
      <c r="M141" s="136">
        <f t="shared" si="34"/>
        <v>0</v>
      </c>
      <c r="N141" s="136">
        <f t="shared" si="34"/>
        <v>0</v>
      </c>
      <c r="O141" s="136">
        <f t="shared" si="34"/>
        <v>0</v>
      </c>
    </row>
    <row r="142" spans="2:20" s="93" customFormat="1" ht="12.95" customHeight="1" x14ac:dyDescent="0.2">
      <c r="B142" s="93" t="s">
        <v>113</v>
      </c>
      <c r="K142" s="136">
        <f t="shared" si="34"/>
        <v>-5</v>
      </c>
      <c r="L142" s="136">
        <f t="shared" si="34"/>
        <v>-5</v>
      </c>
      <c r="M142" s="136">
        <f t="shared" si="34"/>
        <v>-5</v>
      </c>
      <c r="N142" s="136">
        <f t="shared" si="34"/>
        <v>-5</v>
      </c>
      <c r="O142" s="136">
        <f t="shared" si="34"/>
        <v>-5</v>
      </c>
    </row>
    <row r="143" spans="2:20" ht="12.95" customHeight="1" x14ac:dyDescent="0.2">
      <c r="B143" s="93" t="s">
        <v>114</v>
      </c>
      <c r="C143" s="93"/>
      <c r="D143" s="93"/>
      <c r="E143" s="93"/>
      <c r="F143" s="93"/>
      <c r="G143" s="93"/>
      <c r="H143" s="93"/>
      <c r="I143" s="93"/>
      <c r="J143" s="93"/>
      <c r="K143" s="136">
        <f t="shared" ca="1" si="34"/>
        <v>-9.5530075881057179</v>
      </c>
      <c r="L143" s="136">
        <f t="shared" ca="1" si="34"/>
        <v>-10.514559165971757</v>
      </c>
      <c r="M143" s="136">
        <f t="shared" ca="1" si="34"/>
        <v>-11.591383530889594</v>
      </c>
      <c r="N143" s="136">
        <f t="shared" ca="1" si="34"/>
        <v>-12.799259337600411</v>
      </c>
      <c r="O143" s="136">
        <f t="shared" ca="1" si="34"/>
        <v>-14.156354245615473</v>
      </c>
    </row>
    <row r="144" spans="2:20" s="21" customFormat="1" ht="12.95" customHeight="1" x14ac:dyDescent="0.2">
      <c r="B144" s="256" t="s">
        <v>168</v>
      </c>
      <c r="C144" s="256"/>
      <c r="D144" s="256"/>
      <c r="E144" s="256"/>
      <c r="F144" s="256"/>
      <c r="G144" s="256"/>
      <c r="H144" s="257"/>
      <c r="I144" s="257"/>
      <c r="J144" s="257"/>
      <c r="K144" s="257">
        <f ca="1">+SUM(K139:K143)</f>
        <v>-14.553007588105718</v>
      </c>
      <c r="L144" s="257">
        <f ca="1">+SUM(L139:L143)</f>
        <v>-15.514559165971757</v>
      </c>
      <c r="M144" s="257">
        <f ca="1">+SUM(M139:M143)</f>
        <v>-16.591383530889594</v>
      </c>
      <c r="N144" s="257">
        <f ca="1">+SUM(N139:N143)</f>
        <v>-17.799259337600411</v>
      </c>
      <c r="O144" s="257">
        <f ca="1">+SUM(O139:O143)</f>
        <v>-19.156354245615475</v>
      </c>
      <c r="T144" s="1"/>
    </row>
    <row r="145" spans="1:20" ht="12.95" customHeight="1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158"/>
      <c r="L145" s="158"/>
      <c r="M145" s="158"/>
      <c r="N145" s="158"/>
      <c r="O145" s="158"/>
      <c r="T145" s="92"/>
    </row>
    <row r="146" spans="1:20" s="93" customFormat="1" ht="12.95" customHeight="1" x14ac:dyDescent="0.2">
      <c r="B146" s="16" t="s">
        <v>83</v>
      </c>
      <c r="C146" s="16"/>
      <c r="D146" s="16"/>
      <c r="E146" s="16"/>
      <c r="F146" s="16"/>
      <c r="G146" s="16"/>
      <c r="H146" s="71"/>
      <c r="I146" s="71"/>
      <c r="J146" s="71"/>
      <c r="K146" s="155">
        <f ca="1">+K132+K136+K144</f>
        <v>138.81561360287159</v>
      </c>
      <c r="L146" s="155">
        <f ca="1">+L132+L136+L144</f>
        <v>153.07945407592419</v>
      </c>
      <c r="M146" s="155">
        <f ca="1">+M132+M136+M144</f>
        <v>169.05262900456597</v>
      </c>
      <c r="N146" s="155">
        <f ca="1">+N132+N136+N144</f>
        <v>186.96849520705521</v>
      </c>
      <c r="O146" s="155">
        <f ca="1">+O132+O136+O144</f>
        <v>207.09579746544085</v>
      </c>
      <c r="T146" s="92"/>
    </row>
    <row r="147" spans="1:20" ht="12.95" customHeight="1" x14ac:dyDescent="0.2">
      <c r="T147" s="92"/>
    </row>
    <row r="148" spans="1:20" ht="12.95" customHeight="1" x14ac:dyDescent="0.2">
      <c r="A148" s="1" t="s">
        <v>0</v>
      </c>
      <c r="B148" s="26" t="s">
        <v>84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30"/>
      <c r="T148" s="92"/>
    </row>
    <row r="150" spans="1:20" ht="12.95" customHeight="1" x14ac:dyDescent="0.35">
      <c r="K150" s="9" t="str">
        <f>+K116</f>
        <v>Fiscal Year Ended 12/31</v>
      </c>
      <c r="L150" s="10"/>
      <c r="M150" s="10"/>
      <c r="N150" s="10"/>
      <c r="O150" s="10"/>
    </row>
    <row r="151" spans="1:20" ht="12.95" customHeight="1" x14ac:dyDescent="0.2">
      <c r="K151" s="11">
        <f>+$K$26</f>
        <v>2021</v>
      </c>
      <c r="L151" s="11">
        <f>+$L$26</f>
        <v>2022</v>
      </c>
      <c r="M151" s="11">
        <f>+$M$26</f>
        <v>2023</v>
      </c>
      <c r="N151" s="11">
        <f>+$N$26</f>
        <v>2024</v>
      </c>
      <c r="O151" s="11">
        <f>+$O$26</f>
        <v>2025</v>
      </c>
    </row>
    <row r="152" spans="1:20" ht="12.95" customHeight="1" x14ac:dyDescent="0.2">
      <c r="B152" s="18" t="s">
        <v>85</v>
      </c>
    </row>
    <row r="153" spans="1:20" ht="12.95" customHeight="1" x14ac:dyDescent="0.2">
      <c r="B153" s="158" t="str">
        <f>+B85</f>
        <v>Long-Term Debt</v>
      </c>
      <c r="C153" s="20"/>
      <c r="D153" s="20"/>
      <c r="E153" s="20"/>
      <c r="F153" s="20"/>
      <c r="G153" s="20"/>
      <c r="H153" s="20"/>
      <c r="I153" s="20"/>
      <c r="J153" s="20"/>
      <c r="K153" s="170">
        <f>+K191</f>
        <v>0</v>
      </c>
      <c r="L153" s="170">
        <f>+L191</f>
        <v>0</v>
      </c>
      <c r="M153" s="170">
        <f>+M191</f>
        <v>0</v>
      </c>
      <c r="N153" s="170">
        <f>+N191</f>
        <v>0</v>
      </c>
      <c r="O153" s="170">
        <f>+O191</f>
        <v>0</v>
      </c>
    </row>
    <row r="154" spans="1:20" s="21" customFormat="1" ht="12.95" customHeight="1" x14ac:dyDescent="0.2">
      <c r="B154" s="21" t="s">
        <v>86</v>
      </c>
      <c r="H154" s="78"/>
      <c r="I154" s="78"/>
      <c r="J154" s="78"/>
      <c r="K154" s="147">
        <f>+SUM(K153)</f>
        <v>0</v>
      </c>
      <c r="L154" s="147">
        <f>+SUM(L153)</f>
        <v>0</v>
      </c>
      <c r="M154" s="147">
        <f>+SUM(M153)</f>
        <v>0</v>
      </c>
      <c r="N154" s="147">
        <f>+SUM(N153)</f>
        <v>0</v>
      </c>
      <c r="O154" s="147">
        <f>+SUM(O153)</f>
        <v>0</v>
      </c>
    </row>
    <row r="156" spans="1:20" ht="12.95" customHeight="1" x14ac:dyDescent="0.2">
      <c r="B156" s="18" t="s">
        <v>326</v>
      </c>
    </row>
    <row r="157" spans="1:20" ht="12.95" customHeight="1" x14ac:dyDescent="0.2">
      <c r="B157" s="1" t="s">
        <v>87</v>
      </c>
      <c r="K157" s="160">
        <f ca="1">+K132+K136</f>
        <v>153.36862119097731</v>
      </c>
      <c r="L157" s="160">
        <f ca="1">+L132+L136</f>
        <v>168.59401324189594</v>
      </c>
      <c r="M157" s="160">
        <f ca="1">+M132+M136</f>
        <v>185.64401253545557</v>
      </c>
      <c r="N157" s="160">
        <f ca="1">+N132+N136</f>
        <v>204.76775454465562</v>
      </c>
      <c r="O157" s="160">
        <f ca="1">+O132+O136</f>
        <v>226.25215171105634</v>
      </c>
    </row>
    <row r="158" spans="1:20" ht="12.95" customHeight="1" x14ac:dyDescent="0.2">
      <c r="B158" s="1" t="s">
        <v>88</v>
      </c>
      <c r="K158" s="137">
        <f>+K154</f>
        <v>0</v>
      </c>
      <c r="L158" s="137">
        <f>+L154</f>
        <v>0</v>
      </c>
      <c r="M158" s="137">
        <f>+M154</f>
        <v>0</v>
      </c>
      <c r="N158" s="137">
        <f>+N154</f>
        <v>0</v>
      </c>
      <c r="O158" s="137">
        <f>+O154</f>
        <v>0</v>
      </c>
    </row>
    <row r="159" spans="1:20" s="92" customFormat="1" ht="12.95" customHeight="1" x14ac:dyDescent="0.2">
      <c r="B159" s="16" t="s">
        <v>323</v>
      </c>
      <c r="C159" s="16"/>
      <c r="D159" s="16"/>
      <c r="E159" s="16"/>
      <c r="F159" s="16"/>
      <c r="G159" s="16"/>
      <c r="H159" s="16"/>
      <c r="I159" s="16"/>
      <c r="J159" s="16"/>
      <c r="K159" s="155">
        <f ca="1">SUM(K157:K158)</f>
        <v>153.36862119097731</v>
      </c>
      <c r="L159" s="155">
        <f ca="1">SUM(L157:L158)</f>
        <v>168.59401324189594</v>
      </c>
      <c r="M159" s="155">
        <f ca="1">SUM(M157:M158)</f>
        <v>185.64401253545557</v>
      </c>
      <c r="N159" s="155">
        <f ca="1">SUM(N157:N158)</f>
        <v>204.76775454465562</v>
      </c>
      <c r="O159" s="155">
        <f ca="1">SUM(O157:O158)</f>
        <v>226.25215171105634</v>
      </c>
    </row>
    <row r="160" spans="1:20" ht="12.95" customHeight="1" x14ac:dyDescent="0.2">
      <c r="B160" s="1" t="s">
        <v>115</v>
      </c>
      <c r="K160" s="171">
        <f>+K230</f>
        <v>0</v>
      </c>
      <c r="L160" s="171">
        <f>+L230</f>
        <v>0</v>
      </c>
      <c r="M160" s="171">
        <f>+M230</f>
        <v>0</v>
      </c>
      <c r="N160" s="171">
        <f>+N230</f>
        <v>0</v>
      </c>
      <c r="O160" s="171">
        <f>+O230</f>
        <v>0</v>
      </c>
    </row>
    <row r="161" spans="1:15" ht="12.95" customHeight="1" x14ac:dyDescent="0.2">
      <c r="B161" s="1" t="s">
        <v>116</v>
      </c>
      <c r="K161" s="171">
        <f>+K240</f>
        <v>-5</v>
      </c>
      <c r="L161" s="171">
        <f>+L240</f>
        <v>-5</v>
      </c>
      <c r="M161" s="171">
        <f>+M240</f>
        <v>-5</v>
      </c>
      <c r="N161" s="171">
        <f>+N240</f>
        <v>-5</v>
      </c>
      <c r="O161" s="171">
        <f>+O240</f>
        <v>-5</v>
      </c>
    </row>
    <row r="162" spans="1:15" ht="12.95" customHeight="1" x14ac:dyDescent="0.2">
      <c r="B162" s="20" t="s">
        <v>117</v>
      </c>
      <c r="C162" s="20"/>
      <c r="D162" s="20"/>
      <c r="E162" s="20"/>
      <c r="F162" s="20"/>
      <c r="G162" s="20"/>
      <c r="H162" s="20"/>
      <c r="I162" s="20"/>
      <c r="J162" s="20"/>
      <c r="K162" s="172">
        <f ca="1">+K249</f>
        <v>-9.5530075881057179</v>
      </c>
      <c r="L162" s="172">
        <f ca="1">+L249</f>
        <v>-10.514559165971757</v>
      </c>
      <c r="M162" s="172">
        <f ca="1">+M249</f>
        <v>-11.591383530889594</v>
      </c>
      <c r="N162" s="172">
        <f ca="1">+N249</f>
        <v>-12.799259337600411</v>
      </c>
      <c r="O162" s="172">
        <f ca="1">+O249</f>
        <v>-14.156354245615473</v>
      </c>
    </row>
    <row r="163" spans="1:15" s="21" customFormat="1" ht="12.95" customHeight="1" x14ac:dyDescent="0.2">
      <c r="B163" s="21" t="s">
        <v>324</v>
      </c>
      <c r="C163" s="92"/>
      <c r="D163" s="92"/>
      <c r="E163" s="92"/>
      <c r="F163" s="92"/>
      <c r="G163" s="92"/>
      <c r="H163" s="92"/>
      <c r="I163" s="92"/>
      <c r="J163" s="92"/>
      <c r="K163" s="94">
        <f ca="1">+SUM(K159:K162)</f>
        <v>138.81561360287159</v>
      </c>
      <c r="L163" s="94">
        <f ca="1">+SUM(L159:L162)</f>
        <v>153.07945407592419</v>
      </c>
      <c r="M163" s="94">
        <f ca="1">+SUM(M159:M162)</f>
        <v>169.05262900456597</v>
      </c>
      <c r="N163" s="94">
        <f ca="1">+SUM(N159:N162)</f>
        <v>186.96849520705521</v>
      </c>
      <c r="O163" s="94">
        <f ca="1">+SUM(O159:O162)</f>
        <v>207.09579746544088</v>
      </c>
    </row>
    <row r="165" spans="1:15" ht="12.95" customHeight="1" x14ac:dyDescent="0.2">
      <c r="B165" s="1" t="s">
        <v>89</v>
      </c>
      <c r="H165" s="23"/>
      <c r="I165" s="23"/>
      <c r="J165" s="23"/>
      <c r="K165" s="160">
        <f>+J66</f>
        <v>713.27823871970929</v>
      </c>
      <c r="L165" s="160">
        <f ca="1">+K66</f>
        <v>852.09385232258091</v>
      </c>
      <c r="M165" s="160">
        <f ca="1">+L66</f>
        <v>1005.1733063985051</v>
      </c>
      <c r="N165" s="160">
        <f ca="1">+M66</f>
        <v>1174.2259354030712</v>
      </c>
      <c r="O165" s="160">
        <f ca="1">+N66</f>
        <v>1361.1944306101263</v>
      </c>
    </row>
    <row r="166" spans="1:15" ht="12.95" customHeight="1" x14ac:dyDescent="0.2">
      <c r="B166" s="1" t="s">
        <v>90</v>
      </c>
      <c r="H166" s="23"/>
      <c r="I166" s="23"/>
      <c r="J166" s="23"/>
      <c r="K166" s="137">
        <f>-$E$6</f>
        <v>-5</v>
      </c>
      <c r="L166" s="137">
        <f>-$E$6</f>
        <v>-5</v>
      </c>
      <c r="M166" s="137">
        <f>-$E$6</f>
        <v>-5</v>
      </c>
      <c r="N166" s="137">
        <f>-$E$6</f>
        <v>-5</v>
      </c>
      <c r="O166" s="137">
        <f>-$E$6</f>
        <v>-5</v>
      </c>
    </row>
    <row r="167" spans="1:15" ht="12.95" customHeight="1" x14ac:dyDescent="0.2">
      <c r="B167" s="1" t="s">
        <v>325</v>
      </c>
      <c r="H167" s="23"/>
      <c r="I167" s="23"/>
      <c r="J167" s="23"/>
      <c r="K167" s="137">
        <f ca="1">+K163</f>
        <v>138.81561360287159</v>
      </c>
      <c r="L167" s="137">
        <f ca="1">+L163</f>
        <v>153.07945407592419</v>
      </c>
      <c r="M167" s="137">
        <f ca="1">+M163</f>
        <v>169.05262900456597</v>
      </c>
      <c r="N167" s="137">
        <f ca="1">+N163</f>
        <v>186.96849520705521</v>
      </c>
      <c r="O167" s="137">
        <f ca="1">+O163</f>
        <v>207.09579746544088</v>
      </c>
    </row>
    <row r="168" spans="1:15" s="92" customFormat="1" ht="12.95" customHeight="1" x14ac:dyDescent="0.2">
      <c r="B168" s="16" t="s">
        <v>91</v>
      </c>
      <c r="C168" s="16"/>
      <c r="D168" s="16"/>
      <c r="E168" s="16"/>
      <c r="F168" s="16"/>
      <c r="G168" s="16"/>
      <c r="H168" s="71"/>
      <c r="I168" s="71"/>
      <c r="J168" s="71"/>
      <c r="K168" s="155">
        <f ca="1">SUM(K165:K167)</f>
        <v>847.09385232258091</v>
      </c>
      <c r="L168" s="155">
        <f ca="1">SUM(L165:L167)</f>
        <v>1000.1733063985051</v>
      </c>
      <c r="M168" s="155">
        <f ca="1">SUM(M165:M167)</f>
        <v>1169.2259354030712</v>
      </c>
      <c r="N168" s="155">
        <f ca="1">SUM(N165:N167)</f>
        <v>1356.1944306101263</v>
      </c>
      <c r="O168" s="155">
        <f ca="1">SUM(O165:O167)</f>
        <v>1563.2902280755673</v>
      </c>
    </row>
    <row r="170" spans="1:15" s="21" customFormat="1" ht="12.95" customHeight="1" x14ac:dyDescent="0.2">
      <c r="B170" s="18" t="s">
        <v>154</v>
      </c>
    </row>
    <row r="171" spans="1:15" ht="12.95" customHeight="1" x14ac:dyDescent="0.2">
      <c r="B171" s="158" t="str">
        <f>+B84</f>
        <v>Revolving Credit Facility</v>
      </c>
      <c r="C171" s="20"/>
      <c r="D171" s="20"/>
      <c r="E171" s="20"/>
      <c r="F171" s="20"/>
      <c r="G171" s="20"/>
      <c r="H171" s="20"/>
      <c r="I171" s="20"/>
      <c r="J171" s="20"/>
      <c r="K171" s="140">
        <f ca="1">+K180</f>
        <v>0</v>
      </c>
      <c r="L171" s="140">
        <f ca="1">+L180</f>
        <v>0</v>
      </c>
      <c r="M171" s="140">
        <f ca="1">+M180</f>
        <v>0</v>
      </c>
      <c r="N171" s="140">
        <f ca="1">+N180</f>
        <v>0</v>
      </c>
      <c r="O171" s="140">
        <f ca="1">+O180</f>
        <v>0</v>
      </c>
    </row>
    <row r="172" spans="1:15" s="21" customFormat="1" ht="12.95" customHeight="1" x14ac:dyDescent="0.2">
      <c r="B172" s="92" t="s">
        <v>155</v>
      </c>
      <c r="C172" s="92"/>
      <c r="D172" s="92"/>
      <c r="E172" s="92"/>
      <c r="F172" s="92"/>
      <c r="G172" s="92"/>
      <c r="H172" s="92"/>
      <c r="I172" s="92"/>
      <c r="J172" s="92"/>
      <c r="K172" s="154">
        <f ca="1">SUM(K171:K171)</f>
        <v>0</v>
      </c>
      <c r="L172" s="154">
        <f ca="1">SUM(L171:L171)</f>
        <v>0</v>
      </c>
      <c r="M172" s="154">
        <f ca="1">SUM(M171:M171)</f>
        <v>0</v>
      </c>
      <c r="N172" s="154">
        <f ca="1">SUM(N171:N171)</f>
        <v>0</v>
      </c>
      <c r="O172" s="154">
        <f ca="1">SUM(O171:O171)</f>
        <v>0</v>
      </c>
    </row>
    <row r="174" spans="1:15" ht="12.95" customHeight="1" x14ac:dyDescent="0.2">
      <c r="A174" s="1" t="s">
        <v>0</v>
      </c>
      <c r="B174" s="26" t="s">
        <v>92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30"/>
    </row>
    <row r="176" spans="1:15" ht="12.95" customHeight="1" x14ac:dyDescent="0.35">
      <c r="K176" s="9" t="str">
        <f>+K150</f>
        <v>Fiscal Year Ended 12/31</v>
      </c>
      <c r="L176" s="10"/>
      <c r="M176" s="10"/>
      <c r="N176" s="10"/>
      <c r="O176" s="10"/>
    </row>
    <row r="177" spans="2:15" ht="12.95" customHeight="1" x14ac:dyDescent="0.2">
      <c r="K177" s="11">
        <f>+$K$26</f>
        <v>2021</v>
      </c>
      <c r="L177" s="11">
        <f>+$L$26</f>
        <v>2022</v>
      </c>
      <c r="M177" s="11">
        <f>+$M$26</f>
        <v>2023</v>
      </c>
      <c r="N177" s="11">
        <f>+$N$26</f>
        <v>2024</v>
      </c>
      <c r="O177" s="11">
        <f>+$O$26</f>
        <v>2025</v>
      </c>
    </row>
    <row r="178" spans="2:15" ht="12.95" customHeight="1" x14ac:dyDescent="0.2">
      <c r="B178" s="174" t="str">
        <f>+B171</f>
        <v>Revolving Credit Facility</v>
      </c>
      <c r="C178" s="20"/>
      <c r="D178" s="20"/>
      <c r="E178" s="20"/>
      <c r="F178" s="20"/>
      <c r="G178" s="20"/>
      <c r="H178" s="20"/>
      <c r="I178" s="20"/>
      <c r="J178" s="20"/>
      <c r="K178" s="93"/>
      <c r="L178" s="20"/>
      <c r="M178" s="20"/>
      <c r="N178" s="20"/>
      <c r="O178" s="20"/>
    </row>
    <row r="179" spans="2:15" ht="12.95" customHeight="1" x14ac:dyDescent="0.2">
      <c r="B179" s="1" t="s">
        <v>93</v>
      </c>
      <c r="K179" s="118">
        <f>+J84</f>
        <v>0</v>
      </c>
      <c r="L179" s="160">
        <f ca="1">+K181</f>
        <v>0</v>
      </c>
      <c r="M179" s="160">
        <f ca="1">+L181</f>
        <v>0</v>
      </c>
      <c r="N179" s="160">
        <f ca="1">+M181</f>
        <v>0</v>
      </c>
      <c r="O179" s="160">
        <f ca="1">+N181</f>
        <v>0</v>
      </c>
    </row>
    <row r="180" spans="2:15" ht="12.95" customHeight="1" x14ac:dyDescent="0.2">
      <c r="B180" s="20" t="s">
        <v>94</v>
      </c>
      <c r="C180" s="20"/>
      <c r="D180" s="20"/>
      <c r="E180" s="20"/>
      <c r="F180" s="20"/>
      <c r="G180" s="20"/>
      <c r="H180" s="20"/>
      <c r="I180" s="20"/>
      <c r="J180" s="20"/>
      <c r="K180" s="140">
        <f ca="1">-MIN(K179,K168)</f>
        <v>0</v>
      </c>
      <c r="L180" s="140">
        <f ca="1">-MIN(L179,L168)</f>
        <v>0</v>
      </c>
      <c r="M180" s="140">
        <f ca="1">-MIN(M179,M168)</f>
        <v>0</v>
      </c>
      <c r="N180" s="140">
        <f ca="1">-MIN(N179,N168)</f>
        <v>0</v>
      </c>
      <c r="O180" s="140">
        <f ca="1">-MIN(O179,O168)</f>
        <v>0</v>
      </c>
    </row>
    <row r="181" spans="2:15" ht="12.95" customHeight="1" x14ac:dyDescent="0.2">
      <c r="B181" s="21" t="s">
        <v>95</v>
      </c>
      <c r="C181" s="21"/>
      <c r="D181" s="21"/>
      <c r="E181" s="21"/>
      <c r="F181" s="21"/>
      <c r="G181" s="21"/>
      <c r="H181" s="21"/>
      <c r="I181" s="21"/>
      <c r="J181" s="21"/>
      <c r="K181" s="147">
        <f ca="1">SUM(K179:K180)</f>
        <v>0</v>
      </c>
      <c r="L181" s="147">
        <f ca="1">SUM(L179:L180)</f>
        <v>0</v>
      </c>
      <c r="M181" s="147">
        <f ca="1">SUM(M179:M180)</f>
        <v>0</v>
      </c>
      <c r="N181" s="147">
        <f ca="1">SUM(N179:N180)</f>
        <v>0</v>
      </c>
      <c r="O181" s="147">
        <f ca="1">SUM(O179:O180)</f>
        <v>0</v>
      </c>
    </row>
    <row r="182" spans="2:15" ht="12.95" customHeight="1" x14ac:dyDescent="0.2">
      <c r="B182" s="21"/>
      <c r="C182" s="21"/>
      <c r="D182" s="21"/>
      <c r="E182" s="21"/>
      <c r="F182" s="21"/>
      <c r="G182" s="21"/>
      <c r="H182" s="21"/>
      <c r="I182" s="21"/>
      <c r="J182" s="21"/>
      <c r="K182" s="175"/>
      <c r="L182" s="175"/>
      <c r="M182" s="175"/>
      <c r="N182" s="175"/>
      <c r="O182" s="175"/>
    </row>
    <row r="183" spans="2:15" ht="12.95" customHeight="1" x14ac:dyDescent="0.25">
      <c r="B183" s="1" t="s">
        <v>96</v>
      </c>
      <c r="G183" s="1" t="s">
        <v>169</v>
      </c>
      <c r="H183"/>
      <c r="I183" s="299">
        <v>50</v>
      </c>
      <c r="K183" s="137">
        <f ca="1">+AVERAGE(K179,K181)</f>
        <v>0</v>
      </c>
      <c r="L183" s="137">
        <f ca="1">+AVERAGE(L179,L181)</f>
        <v>0</v>
      </c>
      <c r="M183" s="137">
        <f ca="1">+AVERAGE(M179,M181)</f>
        <v>0</v>
      </c>
      <c r="N183" s="137">
        <f ca="1">+AVERAGE(N179,N181)</f>
        <v>0</v>
      </c>
      <c r="O183" s="137">
        <f ca="1">+AVERAGE(O179,O181)</f>
        <v>0</v>
      </c>
    </row>
    <row r="184" spans="2:15" ht="12.95" customHeight="1" x14ac:dyDescent="0.2">
      <c r="B184" s="1" t="s">
        <v>97</v>
      </c>
      <c r="G184" s="1" t="s">
        <v>138</v>
      </c>
      <c r="I184" s="258">
        <v>0.05</v>
      </c>
      <c r="K184" s="160">
        <f ca="1">+IF($E$5=1,K183,0)*$I$184</f>
        <v>0</v>
      </c>
      <c r="L184" s="160">
        <f ca="1">+IF($E$5=1,L183,0)*$I$184</f>
        <v>0</v>
      </c>
      <c r="M184" s="160">
        <f ca="1">+IF($E$5=1,M183,0)*$I$184</f>
        <v>0</v>
      </c>
      <c r="N184" s="160">
        <f ca="1">+IF($E$5=1,N183,0)*$I$184</f>
        <v>0</v>
      </c>
      <c r="O184" s="160">
        <f ca="1">+IF($E$5=1,O183,0)*$I$184</f>
        <v>0</v>
      </c>
    </row>
    <row r="185" spans="2:15" ht="3" customHeight="1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2:15" ht="12.95" hidden="1" customHeight="1" outlineLevel="1" x14ac:dyDescent="0.2"/>
    <row r="187" spans="2:15" ht="12.95" hidden="1" customHeight="1" outlineLevel="1" x14ac:dyDescent="0.2">
      <c r="B187" s="1" t="s">
        <v>98</v>
      </c>
      <c r="K187" s="259">
        <f ca="1">+IF(K181&gt;$I$183,1,0)</f>
        <v>0</v>
      </c>
      <c r="L187" s="259">
        <f ca="1">+IF(L181&gt;$I$183,1,0)</f>
        <v>0</v>
      </c>
      <c r="M187" s="259">
        <f ca="1">+IF(M181&gt;$I$183,1,0)</f>
        <v>0</v>
      </c>
      <c r="N187" s="259">
        <f ca="1">+IF(N181&gt;$I$183,1,0)</f>
        <v>0</v>
      </c>
      <c r="O187" s="259">
        <f ca="1">+IF(O181&gt;$I$183,1,0)</f>
        <v>0</v>
      </c>
    </row>
    <row r="188" spans="2:15" ht="12.95" customHeight="1" collapsed="1" x14ac:dyDescent="0.2"/>
    <row r="189" spans="2:15" ht="12.95" customHeight="1" x14ac:dyDescent="0.2">
      <c r="B189" s="174" t="str">
        <f>+B85</f>
        <v>Long-Term Debt</v>
      </c>
      <c r="C189" s="28"/>
      <c r="D189" s="28"/>
      <c r="E189" s="28"/>
      <c r="F189" s="28"/>
      <c r="G189" s="28"/>
      <c r="H189" s="20"/>
      <c r="I189" s="28"/>
      <c r="J189" s="28"/>
      <c r="K189" s="28"/>
      <c r="L189" s="28"/>
      <c r="M189" s="28"/>
      <c r="N189" s="28"/>
      <c r="O189" s="28"/>
    </row>
    <row r="190" spans="2:15" ht="12.95" customHeight="1" x14ac:dyDescent="0.2">
      <c r="B190" s="1" t="s">
        <v>93</v>
      </c>
      <c r="K190" s="117">
        <f>+J85</f>
        <v>50</v>
      </c>
      <c r="L190" s="160">
        <f>+K192</f>
        <v>50</v>
      </c>
      <c r="M190" s="160">
        <f>+L192</f>
        <v>50</v>
      </c>
      <c r="N190" s="160">
        <f>+M192</f>
        <v>50</v>
      </c>
      <c r="O190" s="160">
        <f>+N192</f>
        <v>50</v>
      </c>
    </row>
    <row r="191" spans="2:15" ht="12.95" customHeight="1" x14ac:dyDescent="0.2">
      <c r="B191" s="20" t="s">
        <v>99</v>
      </c>
      <c r="C191" s="20"/>
      <c r="D191" s="20"/>
      <c r="E191" s="20"/>
      <c r="F191" s="20"/>
      <c r="G191" s="20"/>
      <c r="H191" s="20"/>
      <c r="I191" s="20"/>
      <c r="J191" s="20"/>
      <c r="K191" s="138">
        <v>0</v>
      </c>
      <c r="L191" s="138">
        <v>0</v>
      </c>
      <c r="M191" s="138">
        <v>0</v>
      </c>
      <c r="N191" s="138">
        <v>0</v>
      </c>
      <c r="O191" s="138">
        <v>0</v>
      </c>
    </row>
    <row r="192" spans="2:15" ht="12.95" customHeight="1" x14ac:dyDescent="0.2">
      <c r="B192" s="92" t="s">
        <v>95</v>
      </c>
      <c r="C192" s="92"/>
      <c r="D192" s="92"/>
      <c r="E192" s="92"/>
      <c r="F192" s="92"/>
      <c r="G192" s="92"/>
      <c r="H192" s="93"/>
      <c r="I192" s="92"/>
      <c r="J192" s="92"/>
      <c r="K192" s="154">
        <f>SUM(K190:K191)</f>
        <v>50</v>
      </c>
      <c r="L192" s="154">
        <f>SUM(L190:L191)</f>
        <v>50</v>
      </c>
      <c r="M192" s="154">
        <f>SUM(M190:M191)</f>
        <v>50</v>
      </c>
      <c r="N192" s="154">
        <f>SUM(N190:N191)</f>
        <v>50</v>
      </c>
      <c r="O192" s="154">
        <f>SUM(O190:O191)</f>
        <v>50</v>
      </c>
    </row>
    <row r="193" spans="1:15" ht="12.95" customHeight="1" x14ac:dyDescent="0.2">
      <c r="B193" s="21"/>
      <c r="C193" s="21"/>
      <c r="D193" s="21"/>
      <c r="E193" s="21"/>
      <c r="F193" s="21"/>
      <c r="G193" s="21"/>
      <c r="I193" s="21"/>
      <c r="J193" s="21"/>
      <c r="K193" s="21"/>
      <c r="L193" s="21"/>
      <c r="M193" s="21"/>
      <c r="N193" s="21"/>
      <c r="O193" s="21"/>
    </row>
    <row r="194" spans="1:15" ht="12.95" customHeight="1" x14ac:dyDescent="0.2">
      <c r="B194" s="1" t="s">
        <v>96</v>
      </c>
      <c r="K194" s="160">
        <f>+AVERAGE(K190,K192)</f>
        <v>50</v>
      </c>
      <c r="L194" s="160">
        <f>+AVERAGE(L190,L192)</f>
        <v>50</v>
      </c>
      <c r="M194" s="160">
        <f>+AVERAGE(M190,M192)</f>
        <v>50</v>
      </c>
      <c r="N194" s="160">
        <f>+AVERAGE(N190,N192)</f>
        <v>50</v>
      </c>
      <c r="O194" s="160">
        <f>+AVERAGE(O190,O192)</f>
        <v>50</v>
      </c>
    </row>
    <row r="195" spans="1:15" ht="12.95" customHeight="1" x14ac:dyDescent="0.2">
      <c r="B195" s="1" t="s">
        <v>97</v>
      </c>
      <c r="G195" s="93" t="s">
        <v>138</v>
      </c>
      <c r="H195" s="93"/>
      <c r="I195" s="173">
        <v>0.05</v>
      </c>
      <c r="K195" s="160">
        <f>+IF($E$5=1,K194,0)*$I$195</f>
        <v>2.5</v>
      </c>
      <c r="L195" s="160">
        <f>+IF($E$5=1,L194,0)*$I$195</f>
        <v>2.5</v>
      </c>
      <c r="M195" s="160">
        <f>+IF($E$5=1,M194,0)*$I$195</f>
        <v>2.5</v>
      </c>
      <c r="N195" s="160">
        <f>+IF($E$5=1,N194,0)*$I$195</f>
        <v>2.5</v>
      </c>
      <c r="O195" s="160">
        <f>+IF($E$5=1,O194,0)*$I$195</f>
        <v>2.5</v>
      </c>
    </row>
    <row r="196" spans="1:15" ht="3" customHeight="1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8" spans="1:15" ht="12.95" customHeight="1" x14ac:dyDescent="0.2">
      <c r="A198" s="1" t="s">
        <v>0</v>
      </c>
      <c r="B198" s="26" t="s">
        <v>118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30"/>
    </row>
    <row r="200" spans="1:15" ht="12.95" customHeight="1" x14ac:dyDescent="0.35">
      <c r="K200" s="9" t="str">
        <f>+K176</f>
        <v>Fiscal Year Ended 12/31</v>
      </c>
      <c r="L200" s="10"/>
      <c r="M200" s="10"/>
      <c r="N200" s="10"/>
      <c r="O200" s="10"/>
    </row>
    <row r="201" spans="1:15" ht="12.95" customHeight="1" x14ac:dyDescent="0.2">
      <c r="K201" s="11">
        <f>+$K$26</f>
        <v>2021</v>
      </c>
      <c r="L201" s="11">
        <f>+$L$26</f>
        <v>2022</v>
      </c>
      <c r="M201" s="11">
        <f>+$M$26</f>
        <v>2023</v>
      </c>
      <c r="N201" s="11">
        <f>+$N$26</f>
        <v>2024</v>
      </c>
      <c r="O201" s="11">
        <f>+$O$26</f>
        <v>2025</v>
      </c>
    </row>
    <row r="202" spans="1:15" ht="12.95" customHeight="1" x14ac:dyDescent="0.2">
      <c r="B202" s="20" t="s">
        <v>93</v>
      </c>
      <c r="C202" s="20"/>
      <c r="D202" s="20"/>
      <c r="E202" s="20"/>
      <c r="F202" s="20"/>
      <c r="G202" s="20"/>
      <c r="H202" s="20"/>
      <c r="I202" s="20"/>
      <c r="J202" s="20"/>
      <c r="K202" s="170">
        <f>+J66</f>
        <v>713.27823871970929</v>
      </c>
      <c r="L202" s="170">
        <f ca="1">+K66</f>
        <v>852.09385232258091</v>
      </c>
      <c r="M202" s="170">
        <f ca="1">+L66</f>
        <v>1005.1733063985051</v>
      </c>
      <c r="N202" s="170">
        <f ca="1">+M66</f>
        <v>1174.2259354030712</v>
      </c>
      <c r="O202" s="170">
        <f ca="1">+N66</f>
        <v>1361.1944306101263</v>
      </c>
    </row>
    <row r="203" spans="1:15" s="21" customFormat="1" ht="12.95" customHeight="1" x14ac:dyDescent="0.2">
      <c r="B203" s="16" t="s">
        <v>95</v>
      </c>
      <c r="C203" s="16"/>
      <c r="D203" s="16"/>
      <c r="E203" s="16"/>
      <c r="F203" s="16"/>
      <c r="G203" s="16"/>
      <c r="H203" s="16"/>
      <c r="I203" s="16"/>
      <c r="J203" s="16"/>
      <c r="K203" s="155">
        <f ca="1">+K66</f>
        <v>852.09385232258091</v>
      </c>
      <c r="L203" s="155">
        <f ca="1">+L66</f>
        <v>1005.1733063985051</v>
      </c>
      <c r="M203" s="155">
        <f ca="1">+M66</f>
        <v>1174.2259354030712</v>
      </c>
      <c r="N203" s="155">
        <f ca="1">+N66</f>
        <v>1361.1944306101263</v>
      </c>
      <c r="O203" s="155">
        <f ca="1">+O66</f>
        <v>1568.2902280755673</v>
      </c>
    </row>
    <row r="205" spans="1:15" ht="12.95" customHeight="1" x14ac:dyDescent="0.2">
      <c r="B205" s="1" t="s">
        <v>96</v>
      </c>
      <c r="K205" s="137">
        <f ca="1">+AVERAGE(K202,K203)</f>
        <v>782.68604552114516</v>
      </c>
      <c r="L205" s="137">
        <f ca="1">+AVERAGE(L202,L203)</f>
        <v>928.63357936054308</v>
      </c>
      <c r="M205" s="137">
        <f ca="1">+AVERAGE(M202,M203)</f>
        <v>1089.6996209007882</v>
      </c>
      <c r="N205" s="137">
        <f ca="1">+AVERAGE(N202,N203)</f>
        <v>1267.7101830065988</v>
      </c>
      <c r="O205" s="137">
        <f ca="1">+AVERAGE(O202,O203)</f>
        <v>1464.7423293428469</v>
      </c>
    </row>
    <row r="206" spans="1:15" ht="12.95" customHeight="1" x14ac:dyDescent="0.2">
      <c r="B206" s="20" t="s">
        <v>100</v>
      </c>
      <c r="C206" s="20"/>
      <c r="D206" s="20"/>
      <c r="E206" s="20"/>
      <c r="F206" s="20"/>
      <c r="G206" s="260" t="s">
        <v>101</v>
      </c>
      <c r="H206" s="20"/>
      <c r="I206" s="79">
        <v>0.01</v>
      </c>
      <c r="J206" s="20"/>
      <c r="K206" s="170">
        <f ca="1">+IF($E$5=1,K205,0)*$I$206</f>
        <v>7.8268604552114516</v>
      </c>
      <c r="L206" s="170">
        <f ca="1">+IF($E$5=1,L205,0)*$I$206</f>
        <v>9.2863357936054314</v>
      </c>
      <c r="M206" s="170">
        <f ca="1">+IF($E$5=1,M205,0)*$I$206</f>
        <v>10.896996209007883</v>
      </c>
      <c r="N206" s="170">
        <f ca="1">+IF($E$5=1,N205,0)*$I$206</f>
        <v>12.677101830065988</v>
      </c>
      <c r="O206" s="170">
        <f ca="1">+IF($E$5=1,O205,0)*$I$206</f>
        <v>14.647423293428469</v>
      </c>
    </row>
    <row r="207" spans="1:15" ht="12.95" customHeight="1" x14ac:dyDescent="0.2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1:15" ht="12.95" customHeight="1" x14ac:dyDescent="0.2">
      <c r="A208" s="1" t="s">
        <v>0</v>
      </c>
      <c r="B208" s="26" t="s">
        <v>119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30"/>
    </row>
    <row r="209" spans="2:15" ht="12.95" hidden="1" customHeight="1" outlineLevel="1" x14ac:dyDescent="0.2"/>
    <row r="210" spans="2:15" ht="12.95" hidden="1" customHeight="1" outlineLevel="1" x14ac:dyDescent="0.2">
      <c r="B210" s="28" t="s">
        <v>66</v>
      </c>
      <c r="C210" s="20"/>
      <c r="D210" s="20"/>
      <c r="E210" s="20"/>
      <c r="F210" s="20"/>
      <c r="G210" s="20"/>
      <c r="H210" s="158"/>
      <c r="I210" s="158"/>
      <c r="J210" s="158"/>
      <c r="K210" s="158"/>
      <c r="L210" s="158"/>
      <c r="M210" s="158"/>
      <c r="N210" s="158"/>
      <c r="O210" s="158"/>
    </row>
    <row r="211" spans="2:15" ht="12.95" hidden="1" customHeight="1" outlineLevel="1" x14ac:dyDescent="0.2">
      <c r="B211" s="1" t="str">
        <f>+B96</f>
        <v>Revenue</v>
      </c>
      <c r="H211" s="137">
        <f t="shared" ref="H211:O213" si="35">+H96</f>
        <v>1209.9228781500001</v>
      </c>
      <c r="I211" s="137">
        <f t="shared" si="35"/>
        <v>1288.5678652297499</v>
      </c>
      <c r="J211" s="136">
        <f t="shared" si="35"/>
        <v>1378.7676157958326</v>
      </c>
      <c r="K211" s="136">
        <f t="shared" ca="1" si="35"/>
        <v>1478.7282679410305</v>
      </c>
      <c r="L211" s="137">
        <f t="shared" ca="1" si="35"/>
        <v>1589.6328880366079</v>
      </c>
      <c r="M211" s="137">
        <f t="shared" ca="1" si="35"/>
        <v>1712.8294368594452</v>
      </c>
      <c r="N211" s="137">
        <f t="shared" ca="1" si="35"/>
        <v>1849.8557918082008</v>
      </c>
      <c r="O211" s="137">
        <f t="shared" ca="1" si="35"/>
        <v>2002.4688946323774</v>
      </c>
    </row>
    <row r="212" spans="2:15" ht="12.95" hidden="1" customHeight="1" outlineLevel="1" x14ac:dyDescent="0.2">
      <c r="B212" s="1" t="str">
        <f>+B97</f>
        <v>Cost of Goods Sold (Cost of Sales)</v>
      </c>
      <c r="H212" s="137">
        <f t="shared" si="35"/>
        <v>679.97665752030014</v>
      </c>
      <c r="I212" s="137">
        <f t="shared" si="35"/>
        <v>721.59800452866</v>
      </c>
      <c r="J212" s="136">
        <f t="shared" si="35"/>
        <v>769.35232961407462</v>
      </c>
      <c r="K212" s="136">
        <f t="shared" ca="1" si="35"/>
        <v>822.17291697521307</v>
      </c>
      <c r="L212" s="137">
        <f t="shared" ca="1" si="35"/>
        <v>880.65661997228085</v>
      </c>
      <c r="M212" s="137">
        <f t="shared" ca="1" si="35"/>
        <v>945.48184914641388</v>
      </c>
      <c r="N212" s="137">
        <f t="shared" ca="1" si="35"/>
        <v>1017.4206854945105</v>
      </c>
      <c r="O212" s="137">
        <f t="shared" ca="1" si="35"/>
        <v>1097.3529542585429</v>
      </c>
    </row>
    <row r="213" spans="2:15" ht="12.95" hidden="1" customHeight="1" outlineLevel="1" x14ac:dyDescent="0.2">
      <c r="B213" s="20" t="str">
        <f>+B98</f>
        <v>SG&amp;A</v>
      </c>
      <c r="C213" s="20"/>
      <c r="D213" s="20"/>
      <c r="E213" s="20"/>
      <c r="F213" s="20"/>
      <c r="G213" s="20"/>
      <c r="H213" s="140">
        <f t="shared" si="35"/>
        <v>335.75359868662508</v>
      </c>
      <c r="I213" s="140">
        <f t="shared" si="35"/>
        <v>355.64473080341099</v>
      </c>
      <c r="J213" s="140">
        <f t="shared" si="35"/>
        <v>378.47171053595611</v>
      </c>
      <c r="K213" s="140">
        <f t="shared" ca="1" si="35"/>
        <v>403.69281714790134</v>
      </c>
      <c r="L213" s="140">
        <f t="shared" ca="1" si="35"/>
        <v>431.58532910193907</v>
      </c>
      <c r="M213" s="140">
        <f t="shared" ca="1" si="35"/>
        <v>462.46394795205021</v>
      </c>
      <c r="N213" s="140">
        <f t="shared" ca="1" si="35"/>
        <v>496.68628010050196</v>
      </c>
      <c r="O213" s="140">
        <f t="shared" ca="1" si="35"/>
        <v>534.65919486684481</v>
      </c>
    </row>
    <row r="214" spans="2:15" ht="12.95" customHeight="1" collapsed="1" x14ac:dyDescent="0.2">
      <c r="B214" s="93"/>
      <c r="C214" s="93"/>
      <c r="D214" s="93"/>
      <c r="E214" s="93"/>
      <c r="F214" s="93"/>
      <c r="G214" s="93"/>
      <c r="H214" s="136"/>
      <c r="I214" s="136"/>
      <c r="J214" s="136"/>
      <c r="K214" s="136"/>
      <c r="L214" s="136"/>
      <c r="M214" s="136"/>
      <c r="N214" s="136"/>
      <c r="O214" s="136"/>
    </row>
    <row r="215" spans="2:15" ht="12.95" customHeight="1" x14ac:dyDescent="0.35">
      <c r="B215" s="81"/>
      <c r="C215" s="81"/>
      <c r="D215" s="81"/>
      <c r="E215" s="81"/>
      <c r="F215" s="81"/>
      <c r="G215" s="97"/>
      <c r="H215" s="98" t="str">
        <f>+$K$200</f>
        <v>Fiscal Year Ended 12/31</v>
      </c>
      <c r="I215" s="108"/>
      <c r="J215" s="98"/>
      <c r="K215" s="31"/>
      <c r="L215" s="99"/>
      <c r="M215" s="99"/>
      <c r="N215" s="99"/>
      <c r="O215" s="99"/>
    </row>
    <row r="216" spans="2:15" ht="12.95" customHeight="1" x14ac:dyDescent="0.2">
      <c r="B216" s="81"/>
      <c r="C216" s="81"/>
      <c r="D216" s="81"/>
      <c r="E216" s="81"/>
      <c r="F216" s="81"/>
      <c r="G216" s="100"/>
      <c r="H216" s="32">
        <f>+$H$26</f>
        <v>2018</v>
      </c>
      <c r="I216" s="32">
        <f>+$I$26</f>
        <v>2019</v>
      </c>
      <c r="J216" s="33">
        <f>+$J$26</f>
        <v>2020</v>
      </c>
      <c r="K216" s="11">
        <f>+$K$26</f>
        <v>2021</v>
      </c>
      <c r="L216" s="11">
        <f>+$L$26</f>
        <v>2022</v>
      </c>
      <c r="M216" s="11">
        <f>+$M$26</f>
        <v>2023</v>
      </c>
      <c r="N216" s="11">
        <f>+$N$26</f>
        <v>2024</v>
      </c>
      <c r="O216" s="11">
        <f>+$O$26</f>
        <v>2025</v>
      </c>
    </row>
    <row r="217" spans="2:15" ht="12.95" customHeight="1" x14ac:dyDescent="0.2">
      <c r="B217" s="84" t="s">
        <v>123</v>
      </c>
      <c r="C217" s="84"/>
      <c r="D217" s="84"/>
      <c r="E217" s="84"/>
      <c r="F217" s="84"/>
      <c r="G217" s="101"/>
      <c r="H217" s="101"/>
      <c r="I217" s="101"/>
      <c r="J217" s="206"/>
      <c r="K217" s="178">
        <f>+J72</f>
        <v>6.1006255366755866</v>
      </c>
      <c r="L217" s="178">
        <f ca="1">+K220</f>
        <v>7.5793538046166198</v>
      </c>
      <c r="M217" s="178">
        <f ca="1">+L220</f>
        <v>9.1689866926532275</v>
      </c>
      <c r="N217" s="178">
        <f ca="1">+M220</f>
        <v>10.881816129512675</v>
      </c>
      <c r="O217" s="178">
        <f ca="1">+N220</f>
        <v>12.731671921320874</v>
      </c>
    </row>
    <row r="218" spans="2:15" ht="12.95" customHeight="1" x14ac:dyDescent="0.2">
      <c r="B218" s="81" t="s">
        <v>124</v>
      </c>
      <c r="C218" s="81"/>
      <c r="D218" s="81"/>
      <c r="E218" s="81"/>
      <c r="F218" s="81"/>
      <c r="G218" s="103"/>
      <c r="H218" s="51">
        <v>14.519074537800002</v>
      </c>
      <c r="I218" s="51">
        <v>16.751382247986751</v>
      </c>
      <c r="J218" s="52">
        <v>19.302746621141658</v>
      </c>
      <c r="K218" s="203">
        <f ca="1">+K221*K$211</f>
        <v>21.441559885144944</v>
      </c>
      <c r="L218" s="179">
        <f ca="1">+L221*L$211</f>
        <v>23.84449332054912</v>
      </c>
      <c r="M218" s="179">
        <f ca="1">+M221*M$211</f>
        <v>26.548856271321402</v>
      </c>
      <c r="N218" s="179">
        <f ca="1">+N221*N$211</f>
        <v>29.597692668931213</v>
      </c>
      <c r="O218" s="179">
        <f ca="1">+O221*O$211</f>
        <v>33.040736761434232</v>
      </c>
    </row>
    <row r="219" spans="2:15" ht="12.95" customHeight="1" x14ac:dyDescent="0.2">
      <c r="B219" s="89" t="s">
        <v>125</v>
      </c>
      <c r="C219" s="89"/>
      <c r="D219" s="89"/>
      <c r="E219" s="89"/>
      <c r="F219" s="89"/>
      <c r="G219" s="104"/>
      <c r="H219" s="68">
        <v>-13.30915165965</v>
      </c>
      <c r="I219" s="68">
        <v>-15.462814382756999</v>
      </c>
      <c r="J219" s="116">
        <v>-17.923979005345824</v>
      </c>
      <c r="K219" s="180">
        <f ca="1">+K222*-K$211</f>
        <v>-19.962831617203911</v>
      </c>
      <c r="L219" s="180">
        <f ca="1">+L222*-L$211</f>
        <v>-22.254860432512512</v>
      </c>
      <c r="M219" s="180">
        <f ca="1">+M222*-M$211</f>
        <v>-24.836026834461958</v>
      </c>
      <c r="N219" s="180">
        <f ca="1">+N222*-N$211</f>
        <v>-27.747836877123014</v>
      </c>
      <c r="O219" s="180">
        <f ca="1">+O222*-O$211</f>
        <v>-31.038267866801853</v>
      </c>
    </row>
    <row r="220" spans="2:15" ht="12.95" customHeight="1" x14ac:dyDescent="0.2">
      <c r="B220" s="80" t="s">
        <v>10</v>
      </c>
      <c r="C220" s="81"/>
      <c r="D220" s="81"/>
      <c r="E220" s="81"/>
      <c r="F220" s="81"/>
      <c r="G220" s="103"/>
      <c r="H220" s="103"/>
      <c r="I220" s="103"/>
      <c r="J220" s="207"/>
      <c r="K220" s="204">
        <f ca="1">SUM(K217:K219)</f>
        <v>7.5793538046166198</v>
      </c>
      <c r="L220" s="181">
        <f ca="1">SUM(L217:L219)</f>
        <v>9.1689866926532275</v>
      </c>
      <c r="M220" s="181">
        <f ca="1">SUM(M217:M219)</f>
        <v>10.881816129512675</v>
      </c>
      <c r="N220" s="181">
        <f ca="1">SUM(N217:N219)</f>
        <v>12.731671921320874</v>
      </c>
      <c r="O220" s="181">
        <f ca="1">SUM(O217:O219)</f>
        <v>14.734140815953253</v>
      </c>
    </row>
    <row r="221" spans="2:15" ht="12.95" customHeight="1" x14ac:dyDescent="0.2">
      <c r="B221" s="81" t="s">
        <v>126</v>
      </c>
      <c r="C221" s="81"/>
      <c r="D221" s="81"/>
      <c r="E221" s="81"/>
      <c r="F221" s="81"/>
      <c r="G221" s="103"/>
      <c r="H221" s="61">
        <f>+H218/H$211</f>
        <v>1.2E-2</v>
      </c>
      <c r="I221" s="61">
        <f>+I218/I$211</f>
        <v>1.3000000000000001E-2</v>
      </c>
      <c r="J221" s="62">
        <f>+J218/J$211</f>
        <v>1.4E-2</v>
      </c>
      <c r="K221" s="205">
        <v>1.4500000000000001E-2</v>
      </c>
      <c r="L221" s="205">
        <v>1.5000000000000001E-2</v>
      </c>
      <c r="M221" s="205">
        <v>1.5500000000000002E-2</v>
      </c>
      <c r="N221" s="205">
        <v>1.6E-2</v>
      </c>
      <c r="O221" s="205">
        <v>1.6500000000000001E-2</v>
      </c>
    </row>
    <row r="222" spans="2:15" ht="12.95" customHeight="1" x14ac:dyDescent="0.2">
      <c r="B222" s="89" t="s">
        <v>127</v>
      </c>
      <c r="C222" s="89"/>
      <c r="D222" s="89"/>
      <c r="E222" s="89"/>
      <c r="F222" s="89"/>
      <c r="G222" s="104"/>
      <c r="H222" s="65">
        <f>+H219/-H$211</f>
        <v>1.0999999999999999E-2</v>
      </c>
      <c r="I222" s="65">
        <f>+I219/-I$211</f>
        <v>1.2E-2</v>
      </c>
      <c r="J222" s="66">
        <f>+J219/-J$211</f>
        <v>1.2999999999999999E-2</v>
      </c>
      <c r="K222" s="177">
        <v>1.35E-2</v>
      </c>
      <c r="L222" s="177">
        <v>1.4E-2</v>
      </c>
      <c r="M222" s="177">
        <v>1.4500000000000001E-2</v>
      </c>
      <c r="N222" s="177">
        <v>1.5000000000000001E-2</v>
      </c>
      <c r="O222" s="177">
        <v>1.5500000000000002E-2</v>
      </c>
    </row>
    <row r="225" spans="1:15" ht="12.95" customHeight="1" x14ac:dyDescent="0.2">
      <c r="A225" s="1" t="s">
        <v>0</v>
      </c>
      <c r="B225" s="26" t="s">
        <v>120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30"/>
    </row>
    <row r="227" spans="1:15" ht="12.95" customHeight="1" x14ac:dyDescent="0.35">
      <c r="H227" s="98" t="str">
        <f>+$K$200</f>
        <v>Fiscal Year Ended 12/31</v>
      </c>
      <c r="I227" s="108"/>
      <c r="J227" s="98"/>
      <c r="K227" s="31"/>
      <c r="L227" s="99"/>
      <c r="M227" s="99"/>
      <c r="N227" s="99"/>
      <c r="O227" s="99"/>
    </row>
    <row r="228" spans="1:15" ht="12.95" customHeight="1" x14ac:dyDescent="0.2">
      <c r="B228" s="81"/>
      <c r="C228" s="81"/>
      <c r="D228" s="81"/>
      <c r="E228" s="81"/>
      <c r="F228" s="81"/>
      <c r="G228" s="100"/>
      <c r="H228" s="32">
        <f>+$H$26</f>
        <v>2018</v>
      </c>
      <c r="I228" s="32">
        <f>+$I$26</f>
        <v>2019</v>
      </c>
      <c r="J228" s="33">
        <f>+$J$26</f>
        <v>2020</v>
      </c>
      <c r="K228" s="11">
        <f>+$K$26</f>
        <v>2021</v>
      </c>
      <c r="L228" s="11">
        <f>+$L$26</f>
        <v>2022</v>
      </c>
      <c r="M228" s="11">
        <f>+$M$26</f>
        <v>2023</v>
      </c>
      <c r="N228" s="11">
        <f>+$N$26</f>
        <v>2024</v>
      </c>
      <c r="O228" s="11">
        <f>+$O$26</f>
        <v>2025</v>
      </c>
    </row>
    <row r="229" spans="1:15" ht="12.95" customHeight="1" x14ac:dyDescent="0.2">
      <c r="B229" s="84" t="s">
        <v>123</v>
      </c>
      <c r="C229" s="84"/>
      <c r="D229" s="84"/>
      <c r="E229" s="84"/>
      <c r="F229" s="84"/>
      <c r="G229" s="101"/>
      <c r="H229" s="101"/>
      <c r="I229" s="101"/>
      <c r="J229" s="206"/>
      <c r="K229" s="178">
        <f>+J88</f>
        <v>155.84305619168975</v>
      </c>
      <c r="L229" s="178">
        <f ca="1">+K232</f>
        <v>166.95493687866619</v>
      </c>
      <c r="M229" s="178">
        <f ca="1">+L232</f>
        <v>178.90020861716587</v>
      </c>
      <c r="N229" s="178">
        <f ca="1">+M232</f>
        <v>191.77123891539929</v>
      </c>
      <c r="O229" s="178">
        <f ca="1">+N232</f>
        <v>205.67195163749136</v>
      </c>
    </row>
    <row r="230" spans="1:15" ht="12.95" customHeight="1" x14ac:dyDescent="0.2">
      <c r="B230" s="81" t="s">
        <v>170</v>
      </c>
      <c r="C230" s="81"/>
      <c r="D230" s="81"/>
      <c r="E230" s="81"/>
      <c r="F230" s="81"/>
      <c r="G230" s="103"/>
      <c r="H230" s="103"/>
      <c r="I230" s="103"/>
      <c r="J230" s="207"/>
      <c r="K230" s="210">
        <v>0</v>
      </c>
      <c r="L230" s="211">
        <v>0</v>
      </c>
      <c r="M230" s="211">
        <v>0</v>
      </c>
      <c r="N230" s="211">
        <v>0</v>
      </c>
      <c r="O230" s="211">
        <v>0</v>
      </c>
    </row>
    <row r="231" spans="1:15" ht="12.95" customHeight="1" x14ac:dyDescent="0.2">
      <c r="B231" s="89" t="s">
        <v>128</v>
      </c>
      <c r="C231" s="89"/>
      <c r="D231" s="89"/>
      <c r="E231" s="89"/>
      <c r="F231" s="89"/>
      <c r="G231" s="104"/>
      <c r="H231" s="182">
        <v>9.0919467450000013</v>
      </c>
      <c r="I231" s="182">
        <v>9.6829232834249996</v>
      </c>
      <c r="J231" s="208">
        <v>10.360727913264752</v>
      </c>
      <c r="K231" s="212">
        <f ca="1">+K233*K211</f>
        <v>11.111880686976447</v>
      </c>
      <c r="L231" s="212">
        <f ca="1">+L233*L211</f>
        <v>11.945271738499681</v>
      </c>
      <c r="M231" s="212">
        <f ca="1">+M233*M211</f>
        <v>12.871030298233407</v>
      </c>
      <c r="N231" s="212">
        <f ca="1">+N233*N211</f>
        <v>13.900712722092081</v>
      </c>
      <c r="O231" s="212">
        <f ca="1">+O233*O211</f>
        <v>15.047521521664677</v>
      </c>
    </row>
    <row r="232" spans="1:15" ht="12.95" customHeight="1" x14ac:dyDescent="0.2">
      <c r="B232" s="80" t="s">
        <v>10</v>
      </c>
      <c r="C232" s="81"/>
      <c r="D232" s="81"/>
      <c r="E232" s="81"/>
      <c r="F232" s="81"/>
      <c r="G232" s="103"/>
      <c r="H232" s="103"/>
      <c r="I232" s="103"/>
      <c r="J232" s="207"/>
      <c r="K232" s="204">
        <f ca="1">SUM(K229:K231)</f>
        <v>166.95493687866619</v>
      </c>
      <c r="L232" s="181">
        <f ca="1">SUM(L229:L231)</f>
        <v>178.90020861716587</v>
      </c>
      <c r="M232" s="181">
        <f ca="1">SUM(M229:M231)</f>
        <v>191.77123891539929</v>
      </c>
      <c r="N232" s="181">
        <f ca="1">SUM(N229:N231)</f>
        <v>205.67195163749136</v>
      </c>
      <c r="O232" s="181">
        <f ca="1">SUM(O229:O231)</f>
        <v>220.71947315915605</v>
      </c>
    </row>
    <row r="233" spans="1:15" ht="12.95" customHeight="1" x14ac:dyDescent="0.2">
      <c r="B233" s="89" t="s">
        <v>129</v>
      </c>
      <c r="C233" s="89"/>
      <c r="D233" s="89"/>
      <c r="E233" s="89"/>
      <c r="F233" s="89"/>
      <c r="G233" s="104"/>
      <c r="H233" s="176">
        <f>+H231/H211</f>
        <v>7.5144845255771982E-3</v>
      </c>
      <c r="I233" s="176">
        <f>+I231/I211</f>
        <v>7.5144845255771973E-3</v>
      </c>
      <c r="J233" s="209">
        <f>+J231/J211</f>
        <v>7.5144845255771982E-3</v>
      </c>
      <c r="K233" s="177">
        <f>+J233</f>
        <v>7.5144845255771982E-3</v>
      </c>
      <c r="L233" s="177">
        <f>+K233</f>
        <v>7.5144845255771982E-3</v>
      </c>
      <c r="M233" s="177">
        <f>+L233</f>
        <v>7.5144845255771982E-3</v>
      </c>
      <c r="N233" s="177">
        <f>+M233</f>
        <v>7.5144845255771982E-3</v>
      </c>
      <c r="O233" s="177">
        <f>+N233</f>
        <v>7.5144845255771982E-3</v>
      </c>
    </row>
    <row r="235" spans="1:15" ht="12.95" customHeight="1" x14ac:dyDescent="0.2">
      <c r="A235" s="1" t="s">
        <v>0</v>
      </c>
      <c r="B235" s="26" t="s">
        <v>121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30"/>
    </row>
    <row r="236" spans="1:15" ht="12.95" customHeight="1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2.95" customHeight="1" x14ac:dyDescent="0.35">
      <c r="B237" s="81"/>
      <c r="C237" s="81"/>
      <c r="D237" s="81"/>
      <c r="E237" s="81"/>
      <c r="F237" s="81"/>
      <c r="G237" s="97"/>
      <c r="H237" s="98" t="str">
        <f>+$K$200</f>
        <v>Fiscal Year Ended 12/31</v>
      </c>
      <c r="I237" s="108"/>
      <c r="J237" s="98"/>
      <c r="K237" s="31"/>
      <c r="L237" s="99"/>
      <c r="M237" s="99"/>
      <c r="N237" s="99"/>
      <c r="O237" s="99"/>
    </row>
    <row r="238" spans="1:15" ht="12.95" customHeight="1" x14ac:dyDescent="0.2">
      <c r="B238" s="81"/>
      <c r="C238" s="81"/>
      <c r="D238" s="81"/>
      <c r="E238" s="81"/>
      <c r="F238" s="81"/>
      <c r="G238" s="100"/>
      <c r="H238" s="32">
        <f>+$H$26</f>
        <v>2018</v>
      </c>
      <c r="I238" s="32">
        <f>+$I$26</f>
        <v>2019</v>
      </c>
      <c r="J238" s="33">
        <f>+$J$26</f>
        <v>2020</v>
      </c>
      <c r="K238" s="11">
        <f>+$K$26</f>
        <v>2021</v>
      </c>
      <c r="L238" s="11">
        <f>+$L$26</f>
        <v>2022</v>
      </c>
      <c r="M238" s="11">
        <f>+$M$26</f>
        <v>2023</v>
      </c>
      <c r="N238" s="11">
        <f>+$N$26</f>
        <v>2024</v>
      </c>
      <c r="O238" s="11">
        <f>+$O$26</f>
        <v>2025</v>
      </c>
    </row>
    <row r="239" spans="1:15" ht="12.95" customHeight="1" x14ac:dyDescent="0.2">
      <c r="B239" s="84" t="s">
        <v>123</v>
      </c>
      <c r="C239" s="84"/>
      <c r="D239" s="84"/>
      <c r="E239" s="84"/>
      <c r="F239" s="84"/>
      <c r="G239" s="101"/>
      <c r="H239" s="101"/>
      <c r="I239" s="101"/>
      <c r="J239" s="206"/>
      <c r="K239" s="178">
        <f>+J89</f>
        <v>-25</v>
      </c>
      <c r="L239" s="178">
        <f>+K241</f>
        <v>-30</v>
      </c>
      <c r="M239" s="178">
        <f>+L241</f>
        <v>-35</v>
      </c>
      <c r="N239" s="178">
        <f>+M241</f>
        <v>-40</v>
      </c>
      <c r="O239" s="178">
        <f>+N241</f>
        <v>-45</v>
      </c>
    </row>
    <row r="240" spans="1:15" ht="12.95" customHeight="1" x14ac:dyDescent="0.2">
      <c r="B240" s="81" t="s">
        <v>116</v>
      </c>
      <c r="C240" s="81"/>
      <c r="D240" s="81"/>
      <c r="E240" s="81"/>
      <c r="F240" s="81"/>
      <c r="G240" s="103"/>
      <c r="H240" s="51">
        <v>-5</v>
      </c>
      <c r="I240" s="51">
        <v>-5</v>
      </c>
      <c r="J240" s="52">
        <v>-5</v>
      </c>
      <c r="K240" s="226">
        <v>-5</v>
      </c>
      <c r="L240" s="226">
        <v>-5</v>
      </c>
      <c r="M240" s="226">
        <v>-5</v>
      </c>
      <c r="N240" s="226">
        <v>-5</v>
      </c>
      <c r="O240" s="226">
        <v>-5</v>
      </c>
    </row>
    <row r="241" spans="1:15" ht="12.95" customHeight="1" x14ac:dyDescent="0.2">
      <c r="B241" s="105" t="s">
        <v>10</v>
      </c>
      <c r="C241" s="106"/>
      <c r="D241" s="106"/>
      <c r="E241" s="106"/>
      <c r="F241" s="106"/>
      <c r="G241" s="107"/>
      <c r="H241" s="107"/>
      <c r="I241" s="107"/>
      <c r="J241" s="214"/>
      <c r="K241" s="261">
        <f>SUM(K239:K240)</f>
        <v>-30</v>
      </c>
      <c r="L241" s="261">
        <f>SUM(L239:L240)</f>
        <v>-35</v>
      </c>
      <c r="M241" s="261">
        <f>SUM(M239:M240)</f>
        <v>-40</v>
      </c>
      <c r="N241" s="261">
        <f>SUM(N239:N240)</f>
        <v>-45</v>
      </c>
      <c r="O241" s="261">
        <f>SUM(O239:O240)</f>
        <v>-50</v>
      </c>
    </row>
    <row r="242" spans="1:15" ht="12.95" customHeight="1" x14ac:dyDescent="0.2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ht="12.95" customHeight="1" x14ac:dyDescent="0.2">
      <c r="A243" s="1" t="s">
        <v>0</v>
      </c>
      <c r="B243" s="26" t="s">
        <v>122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30"/>
    </row>
    <row r="245" spans="1:15" ht="12.95" customHeight="1" x14ac:dyDescent="0.35">
      <c r="B245" s="81"/>
      <c r="C245" s="81"/>
      <c r="D245" s="81"/>
      <c r="E245" s="81"/>
      <c r="F245" s="81"/>
      <c r="G245" s="97"/>
      <c r="H245" s="98" t="str">
        <f>+$K$200</f>
        <v>Fiscal Year Ended 12/31</v>
      </c>
      <c r="I245" s="108"/>
      <c r="J245" s="98"/>
      <c r="K245" s="31"/>
      <c r="L245" s="99"/>
      <c r="M245" s="99"/>
      <c r="N245" s="99"/>
      <c r="O245" s="99"/>
    </row>
    <row r="246" spans="1:15" ht="12.95" customHeight="1" x14ac:dyDescent="0.2">
      <c r="B246" s="81"/>
      <c r="C246" s="81"/>
      <c r="D246" s="81"/>
      <c r="E246" s="81"/>
      <c r="F246" s="81"/>
      <c r="G246" s="100"/>
      <c r="H246" s="32">
        <f>+$H$26</f>
        <v>2018</v>
      </c>
      <c r="I246" s="32">
        <f>+$I$26</f>
        <v>2019</v>
      </c>
      <c r="J246" s="33">
        <f>+$J$26</f>
        <v>2020</v>
      </c>
      <c r="K246" s="11">
        <f>+$K$26</f>
        <v>2021</v>
      </c>
      <c r="L246" s="11">
        <f>+$L$26</f>
        <v>2022</v>
      </c>
      <c r="M246" s="11">
        <f>+$M$26</f>
        <v>2023</v>
      </c>
      <c r="N246" s="11">
        <f>+$N$26</f>
        <v>2024</v>
      </c>
      <c r="O246" s="11">
        <f>+$O$26</f>
        <v>2025</v>
      </c>
    </row>
    <row r="247" spans="1:15" ht="12.95" customHeight="1" x14ac:dyDescent="0.2">
      <c r="B247" s="84" t="s">
        <v>123</v>
      </c>
      <c r="C247" s="84"/>
      <c r="D247" s="84"/>
      <c r="E247" s="84"/>
      <c r="F247" s="84"/>
      <c r="G247" s="101"/>
      <c r="H247" s="227"/>
      <c r="I247" s="227"/>
      <c r="J247" s="228"/>
      <c r="K247" s="178">
        <f>+J90</f>
        <v>694.19401298496064</v>
      </c>
      <c r="L247" s="178">
        <f ca="1">+K250</f>
        <v>875.70115715896929</v>
      </c>
      <c r="M247" s="178">
        <f ca="1">+L250</f>
        <v>1075.4777813124326</v>
      </c>
      <c r="N247" s="178">
        <f ca="1">+M250</f>
        <v>1295.714068399335</v>
      </c>
      <c r="O247" s="178">
        <f ca="1">+N250</f>
        <v>1538.8999958137426</v>
      </c>
    </row>
    <row r="248" spans="1:15" ht="12.95" customHeight="1" x14ac:dyDescent="0.2">
      <c r="B248" s="81" t="s">
        <v>130</v>
      </c>
      <c r="C248" s="81"/>
      <c r="D248" s="81"/>
      <c r="E248" s="81"/>
      <c r="F248" s="81"/>
      <c r="G248" s="103"/>
      <c r="H248" s="135">
        <f t="shared" ref="H248:O248" si="36">+H36</f>
        <v>144.38336269074406</v>
      </c>
      <c r="I248" s="135">
        <f t="shared" si="36"/>
        <v>158.09058392211767</v>
      </c>
      <c r="J248" s="229">
        <f t="shared" si="36"/>
        <v>173.73619092811771</v>
      </c>
      <c r="K248" s="179">
        <f t="shared" ca="1" si="36"/>
        <v>191.06015176211434</v>
      </c>
      <c r="L248" s="179">
        <f t="shared" ca="1" si="36"/>
        <v>210.29118331943513</v>
      </c>
      <c r="M248" s="179">
        <f t="shared" ca="1" si="36"/>
        <v>231.82767061779185</v>
      </c>
      <c r="N248" s="179">
        <f t="shared" ca="1" si="36"/>
        <v>255.98518675200819</v>
      </c>
      <c r="O248" s="179">
        <f t="shared" ca="1" si="36"/>
        <v>283.12708491230944</v>
      </c>
    </row>
    <row r="249" spans="1:15" ht="12.95" customHeight="1" x14ac:dyDescent="0.2">
      <c r="B249" s="89" t="s">
        <v>117</v>
      </c>
      <c r="C249" s="89"/>
      <c r="D249" s="89"/>
      <c r="E249" s="89"/>
      <c r="F249" s="89"/>
      <c r="G249" s="104"/>
      <c r="H249" s="138">
        <v>-7.2191681345372034</v>
      </c>
      <c r="I249" s="138">
        <v>-7.9045291961058837</v>
      </c>
      <c r="J249" s="139">
        <v>-8.6868095464058861</v>
      </c>
      <c r="K249" s="194">
        <f ca="1">-K251*K248</f>
        <v>-9.5530075881057179</v>
      </c>
      <c r="L249" s="194">
        <f ca="1">-L251*L248</f>
        <v>-10.514559165971757</v>
      </c>
      <c r="M249" s="194">
        <f ca="1">-M251*M248</f>
        <v>-11.591383530889594</v>
      </c>
      <c r="N249" s="194">
        <f ca="1">-N251*N248</f>
        <v>-12.799259337600411</v>
      </c>
      <c r="O249" s="194">
        <f ca="1">-O251*O248</f>
        <v>-14.156354245615473</v>
      </c>
    </row>
    <row r="250" spans="1:15" ht="12.95" customHeight="1" x14ac:dyDescent="0.2">
      <c r="B250" s="80" t="s">
        <v>10</v>
      </c>
      <c r="C250" s="81"/>
      <c r="D250" s="81"/>
      <c r="E250" s="81"/>
      <c r="F250" s="81"/>
      <c r="G250" s="103"/>
      <c r="H250" s="230"/>
      <c r="I250" s="230"/>
      <c r="J250" s="231"/>
      <c r="K250" s="181">
        <f ca="1">SUM(K247:K249)</f>
        <v>875.70115715896929</v>
      </c>
      <c r="L250" s="181">
        <f ca="1">SUM(L247:L249)</f>
        <v>1075.4777813124326</v>
      </c>
      <c r="M250" s="181">
        <f ca="1">SUM(M247:M249)</f>
        <v>1295.714068399335</v>
      </c>
      <c r="N250" s="181">
        <f ca="1">SUM(N247:N249)</f>
        <v>1538.8999958137426</v>
      </c>
      <c r="O250" s="181">
        <f ca="1">SUM(O247:O249)</f>
        <v>1807.8707264804368</v>
      </c>
    </row>
    <row r="251" spans="1:15" ht="12.95" customHeight="1" x14ac:dyDescent="0.2">
      <c r="B251" s="89" t="s">
        <v>131</v>
      </c>
      <c r="C251" s="89"/>
      <c r="D251" s="89"/>
      <c r="E251" s="89"/>
      <c r="F251" s="89"/>
      <c r="G251" s="104"/>
      <c r="H251" s="232">
        <f>-H249/H248</f>
        <v>0.05</v>
      </c>
      <c r="I251" s="232">
        <f>-I249/I248</f>
        <v>0.05</v>
      </c>
      <c r="J251" s="233">
        <f>-J249/J248</f>
        <v>0.05</v>
      </c>
      <c r="K251" s="177">
        <v>0.05</v>
      </c>
      <c r="L251" s="177">
        <v>0.05</v>
      </c>
      <c r="M251" s="177">
        <v>0.05</v>
      </c>
      <c r="N251" s="177">
        <v>0.05</v>
      </c>
      <c r="O251" s="177">
        <v>0.05</v>
      </c>
    </row>
    <row r="253" spans="1:15" ht="12.95" customHeight="1" x14ac:dyDescent="0.2">
      <c r="A253" s="1" t="s">
        <v>0</v>
      </c>
      <c r="B253" s="26" t="s">
        <v>139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30"/>
    </row>
    <row r="255" spans="1:15" ht="12.95" customHeight="1" x14ac:dyDescent="0.35">
      <c r="H255" s="98" t="str">
        <f>+$K$200</f>
        <v>Fiscal Year Ended 12/31</v>
      </c>
      <c r="I255" s="108"/>
      <c r="J255" s="98"/>
      <c r="K255" s="31"/>
      <c r="L255" s="99"/>
      <c r="M255" s="99"/>
      <c r="N255" s="99"/>
      <c r="O255" s="99"/>
    </row>
    <row r="256" spans="1:15" ht="12.95" customHeight="1" x14ac:dyDescent="0.2">
      <c r="H256" s="32">
        <f>+$H$26</f>
        <v>2018</v>
      </c>
      <c r="I256" s="32">
        <f>+$I$26</f>
        <v>2019</v>
      </c>
      <c r="J256" s="33">
        <f>+$J$26</f>
        <v>2020</v>
      </c>
      <c r="K256" s="11">
        <f>+$K$26</f>
        <v>2021</v>
      </c>
      <c r="L256" s="11">
        <f>+$L$26</f>
        <v>2022</v>
      </c>
      <c r="M256" s="11">
        <f>+$M$26</f>
        <v>2023</v>
      </c>
      <c r="N256" s="11">
        <f>+$N$26</f>
        <v>2024</v>
      </c>
      <c r="O256" s="11">
        <f>+$O$26</f>
        <v>2025</v>
      </c>
    </row>
    <row r="257" spans="2:23" ht="12.95" customHeight="1" x14ac:dyDescent="0.2">
      <c r="B257" s="1" t="s">
        <v>39</v>
      </c>
      <c r="H257" s="17">
        <f t="shared" ref="H257:O257" si="37">+H36</f>
        <v>144.38336269074406</v>
      </c>
      <c r="I257" s="17">
        <f t="shared" si="37"/>
        <v>158.09058392211767</v>
      </c>
      <c r="J257" s="213">
        <f t="shared" si="37"/>
        <v>173.73619092811771</v>
      </c>
      <c r="K257" s="17">
        <f t="shared" ca="1" si="37"/>
        <v>191.06015176211434</v>
      </c>
      <c r="L257" s="17">
        <f t="shared" ca="1" si="37"/>
        <v>210.29118331943513</v>
      </c>
      <c r="M257" s="17">
        <f t="shared" ca="1" si="37"/>
        <v>231.82767061779185</v>
      </c>
      <c r="N257" s="17">
        <f t="shared" ca="1" si="37"/>
        <v>255.98518675200819</v>
      </c>
      <c r="O257" s="17">
        <f t="shared" ca="1" si="37"/>
        <v>283.12708491230944</v>
      </c>
    </row>
    <row r="258" spans="2:23" ht="12.95" customHeight="1" x14ac:dyDescent="0.25">
      <c r="J258" s="192"/>
      <c r="Q258"/>
      <c r="R258"/>
      <c r="S258"/>
      <c r="T258"/>
    </row>
    <row r="259" spans="2:23" ht="12.95" customHeight="1" x14ac:dyDescent="0.25">
      <c r="B259" s="255" t="s">
        <v>158</v>
      </c>
      <c r="J259" s="192"/>
      <c r="Q259"/>
      <c r="R259"/>
      <c r="S259"/>
      <c r="T259"/>
    </row>
    <row r="260" spans="2:23" ht="12.95" customHeight="1" x14ac:dyDescent="0.25">
      <c r="B260" s="1" t="s">
        <v>140</v>
      </c>
      <c r="H260" s="135">
        <f>+H38</f>
        <v>100.91013022450269</v>
      </c>
      <c r="I260" s="135">
        <f>+I38</f>
        <v>101.22532805211092</v>
      </c>
      <c r="J260" s="236">
        <f>+J38</f>
        <v>101.5551580431645</v>
      </c>
      <c r="K260" s="23">
        <f ca="1">+K279</f>
        <v>101.90401653516366</v>
      </c>
      <c r="L260" s="23">
        <f ca="1">+L279</f>
        <v>102.2715337479319</v>
      </c>
      <c r="M260" s="23">
        <f ca="1">+M279</f>
        <v>102.65620817950474</v>
      </c>
      <c r="N260" s="23">
        <f ca="1">+N279</f>
        <v>103.05644930635414</v>
      </c>
      <c r="O260" s="23">
        <f ca="1">+O279</f>
        <v>103.47059481132945</v>
      </c>
      <c r="Q260"/>
      <c r="R260"/>
      <c r="S260"/>
      <c r="T260"/>
      <c r="U260" s="23"/>
      <c r="V260" s="23"/>
      <c r="W260"/>
    </row>
    <row r="261" spans="2:23" ht="12.95" customHeight="1" x14ac:dyDescent="0.25">
      <c r="B261" s="93" t="s">
        <v>141</v>
      </c>
      <c r="C261" s="93"/>
      <c r="D261" s="93"/>
      <c r="E261" s="93"/>
      <c r="F261" s="93"/>
      <c r="G261" s="93"/>
      <c r="H261" s="136">
        <f>+H262-H260</f>
        <v>5</v>
      </c>
      <c r="I261" s="136">
        <f>+I262-I260</f>
        <v>5</v>
      </c>
      <c r="J261" s="237">
        <f>+J262-J260</f>
        <v>5</v>
      </c>
      <c r="K261" s="111">
        <f>+J261</f>
        <v>5</v>
      </c>
      <c r="L261" s="111">
        <f>+K261</f>
        <v>5</v>
      </c>
      <c r="M261" s="111">
        <f>+L261</f>
        <v>5</v>
      </c>
      <c r="N261" s="111">
        <f>+M261</f>
        <v>5</v>
      </c>
      <c r="O261" s="111">
        <f>+N261</f>
        <v>5</v>
      </c>
      <c r="Q261"/>
      <c r="R261"/>
      <c r="S261"/>
      <c r="T261"/>
      <c r="U261" s="23"/>
      <c r="V261" s="23"/>
      <c r="W261"/>
    </row>
    <row r="262" spans="2:23" ht="12.95" customHeight="1" x14ac:dyDescent="0.25">
      <c r="B262" s="183" t="s">
        <v>107</v>
      </c>
      <c r="C262" s="183"/>
      <c r="D262" s="183"/>
      <c r="E262" s="183"/>
      <c r="F262" s="183"/>
      <c r="G262" s="183"/>
      <c r="H262" s="238">
        <f>+H41</f>
        <v>105.91013022450269</v>
      </c>
      <c r="I262" s="238">
        <f>+I41</f>
        <v>106.22532805211092</v>
      </c>
      <c r="J262" s="239">
        <f>+J41</f>
        <v>106.5551580431645</v>
      </c>
      <c r="K262" s="187">
        <f ca="1">SUM(K260:K261)</f>
        <v>106.90401653516366</v>
      </c>
      <c r="L262" s="187">
        <f ca="1">SUM(L260:L261)</f>
        <v>107.2715337479319</v>
      </c>
      <c r="M262" s="187">
        <f ca="1">SUM(M260:M261)</f>
        <v>107.65620817950474</v>
      </c>
      <c r="N262" s="187">
        <f ca="1">SUM(N260:N261)</f>
        <v>108.05644930635414</v>
      </c>
      <c r="O262" s="187">
        <f ca="1">SUM(O260:O261)</f>
        <v>108.47059481132945</v>
      </c>
      <c r="Q262"/>
      <c r="R262"/>
      <c r="S262"/>
      <c r="T262"/>
      <c r="U262" s="23"/>
      <c r="V262" s="23"/>
      <c r="W262"/>
    </row>
    <row r="263" spans="2:23" ht="12.95" customHeight="1" x14ac:dyDescent="0.25">
      <c r="B263" s="92"/>
      <c r="C263" s="92"/>
      <c r="D263" s="92"/>
      <c r="E263" s="92"/>
      <c r="F263" s="92"/>
      <c r="G263" s="92"/>
      <c r="H263" s="240"/>
      <c r="I263" s="240"/>
      <c r="J263" s="241"/>
      <c r="K263" s="92"/>
      <c r="L263" s="92"/>
      <c r="M263" s="92"/>
      <c r="N263" s="92"/>
      <c r="O263" s="92"/>
      <c r="Q263"/>
      <c r="R263"/>
      <c r="S263"/>
      <c r="T263"/>
      <c r="U263" s="23"/>
      <c r="V263" s="23"/>
      <c r="W263"/>
    </row>
    <row r="264" spans="2:23" ht="12.95" customHeight="1" x14ac:dyDescent="0.25">
      <c r="B264" s="93" t="s">
        <v>143</v>
      </c>
      <c r="C264" s="93"/>
      <c r="D264" s="93"/>
      <c r="E264" s="93"/>
      <c r="F264" s="93"/>
      <c r="G264" s="93"/>
      <c r="H264" s="136"/>
      <c r="I264" s="136"/>
      <c r="J264" s="237"/>
      <c r="K264" s="111">
        <f ca="1">+K231+K230</f>
        <v>11.111880686976447</v>
      </c>
      <c r="L264" s="111">
        <f ca="1">+L231+L230</f>
        <v>11.945271738499681</v>
      </c>
      <c r="M264" s="111">
        <f ca="1">+M231+M230</f>
        <v>12.871030298233407</v>
      </c>
      <c r="N264" s="111">
        <f ca="1">+N231+N230</f>
        <v>13.900712722092081</v>
      </c>
      <c r="O264" s="111">
        <f ca="1">+O231+O230</f>
        <v>15.047521521664677</v>
      </c>
      <c r="Q264"/>
      <c r="R264"/>
      <c r="S264"/>
      <c r="T264"/>
      <c r="U264" s="23"/>
      <c r="V264" s="23"/>
      <c r="W264"/>
    </row>
    <row r="265" spans="2:23" ht="12.95" customHeight="1" x14ac:dyDescent="0.25">
      <c r="B265" s="93" t="s">
        <v>142</v>
      </c>
      <c r="C265" s="93"/>
      <c r="D265" s="93"/>
      <c r="E265" s="93"/>
      <c r="F265" s="93"/>
      <c r="G265" s="93"/>
      <c r="H265" s="136"/>
      <c r="I265" s="136"/>
      <c r="J265" s="237"/>
      <c r="K265" s="111">
        <f>+K240</f>
        <v>-5</v>
      </c>
      <c r="L265" s="111">
        <f>+L240</f>
        <v>-5</v>
      </c>
      <c r="M265" s="111">
        <f>+M240</f>
        <v>-5</v>
      </c>
      <c r="N265" s="111">
        <f>+N240</f>
        <v>-5</v>
      </c>
      <c r="O265" s="111">
        <f>+O240</f>
        <v>-5</v>
      </c>
      <c r="Q265"/>
      <c r="R265"/>
      <c r="S265"/>
      <c r="T265"/>
      <c r="U265" s="23"/>
      <c r="V265" s="23"/>
      <c r="W265"/>
    </row>
    <row r="266" spans="2:23" ht="12.95" customHeight="1" x14ac:dyDescent="0.25">
      <c r="B266" s="183" t="s">
        <v>144</v>
      </c>
      <c r="C266" s="183"/>
      <c r="D266" s="183"/>
      <c r="E266" s="183"/>
      <c r="F266" s="183"/>
      <c r="G266" s="183"/>
      <c r="H266" s="149"/>
      <c r="I266" s="149"/>
      <c r="J266" s="242"/>
      <c r="K266" s="184">
        <f ca="1">SUM(K264:K265)</f>
        <v>6.1118806869764466</v>
      </c>
      <c r="L266" s="184">
        <f ca="1">SUM(L264:L265)</f>
        <v>6.9452717384996809</v>
      </c>
      <c r="M266" s="184">
        <f ca="1">SUM(M264:M265)</f>
        <v>7.8710302982334071</v>
      </c>
      <c r="N266" s="184">
        <f ca="1">SUM(N264:N265)</f>
        <v>8.9007127220920808</v>
      </c>
      <c r="O266" s="184">
        <f ca="1">SUM(O264:O265)</f>
        <v>10.047521521664677</v>
      </c>
      <c r="Q266"/>
      <c r="R266"/>
      <c r="S266"/>
      <c r="T266"/>
      <c r="U266" s="23"/>
      <c r="V266" s="23"/>
      <c r="W266"/>
    </row>
    <row r="267" spans="2:23" ht="12.95" customHeight="1" x14ac:dyDescent="0.25">
      <c r="B267" s="92"/>
      <c r="C267" s="92"/>
      <c r="D267" s="92"/>
      <c r="E267" s="92"/>
      <c r="F267" s="92"/>
      <c r="G267" s="92"/>
      <c r="H267" s="240"/>
      <c r="I267" s="240"/>
      <c r="J267" s="241"/>
      <c r="K267" s="92"/>
      <c r="L267" s="92"/>
      <c r="M267" s="92"/>
      <c r="N267" s="92"/>
      <c r="O267" s="92"/>
      <c r="Q267"/>
      <c r="R267"/>
      <c r="S267"/>
      <c r="T267"/>
      <c r="U267" s="23"/>
      <c r="V267" s="23"/>
      <c r="W267"/>
    </row>
    <row r="268" spans="2:23" ht="12.95" customHeight="1" x14ac:dyDescent="0.25">
      <c r="B268" s="93" t="s">
        <v>145</v>
      </c>
      <c r="C268" s="93"/>
      <c r="D268" s="93"/>
      <c r="E268" s="93"/>
      <c r="F268" s="93"/>
      <c r="G268" s="93"/>
      <c r="H268" s="136"/>
      <c r="I268" s="136"/>
      <c r="J268" s="237"/>
      <c r="K268" s="111">
        <f t="shared" ref="K268:O269" ca="1" si="38">+K264/K$274</f>
        <v>0.63425222746797372</v>
      </c>
      <c r="L268" s="111">
        <f t="shared" ca="1" si="38"/>
        <v>0.63209808635088527</v>
      </c>
      <c r="M268" s="111">
        <f t="shared" ca="1" si="38"/>
        <v>0.62903534558126462</v>
      </c>
      <c r="N268" s="111">
        <f t="shared" ca="1" si="38"/>
        <v>0.62507768732841207</v>
      </c>
      <c r="O268" s="111">
        <f t="shared" ca="1" si="38"/>
        <v>0.62023887042983061</v>
      </c>
      <c r="Q268"/>
      <c r="R268"/>
      <c r="S268"/>
      <c r="T268"/>
      <c r="U268" s="23"/>
      <c r="V268" s="23"/>
      <c r="W268"/>
    </row>
    <row r="269" spans="2:23" ht="12.95" customHeight="1" x14ac:dyDescent="0.25">
      <c r="B269" s="93" t="s">
        <v>146</v>
      </c>
      <c r="C269" s="93"/>
      <c r="D269" s="93"/>
      <c r="E269" s="93"/>
      <c r="F269" s="93"/>
      <c r="G269" s="93"/>
      <c r="H269" s="136"/>
      <c r="I269" s="136"/>
      <c r="J269" s="237"/>
      <c r="K269" s="111">
        <f t="shared" si="38"/>
        <v>-0.28539373546880403</v>
      </c>
      <c r="L269" s="111">
        <f t="shared" si="38"/>
        <v>-0.26458087358265342</v>
      </c>
      <c r="M269" s="111">
        <f t="shared" si="38"/>
        <v>-0.24436091400841542</v>
      </c>
      <c r="N269" s="111">
        <f t="shared" si="38"/>
        <v>-0.22483656047901435</v>
      </c>
      <c r="O269" s="111">
        <f t="shared" si="38"/>
        <v>-0.20609336545451731</v>
      </c>
      <c r="Q269"/>
      <c r="R269"/>
      <c r="S269"/>
      <c r="T269"/>
      <c r="U269" s="23"/>
      <c r="V269" s="23"/>
      <c r="W269"/>
    </row>
    <row r="270" spans="2:23" ht="12.95" customHeight="1" x14ac:dyDescent="0.25">
      <c r="B270" s="183" t="s">
        <v>144</v>
      </c>
      <c r="C270" s="183"/>
      <c r="D270" s="183"/>
      <c r="E270" s="183"/>
      <c r="F270" s="183"/>
      <c r="G270" s="183"/>
      <c r="H270" s="238"/>
      <c r="I270" s="238"/>
      <c r="J270" s="239"/>
      <c r="K270" s="187">
        <f ca="1">SUM(K268:K269)</f>
        <v>0.34885849199916968</v>
      </c>
      <c r="L270" s="187">
        <f ca="1">SUM(L268:L269)</f>
        <v>0.36751721276823185</v>
      </c>
      <c r="M270" s="187">
        <f ca="1">SUM(M268:M269)</f>
        <v>0.3846744315728492</v>
      </c>
      <c r="N270" s="187">
        <f ca="1">SUM(N268:N269)</f>
        <v>0.40024112684939772</v>
      </c>
      <c r="O270" s="187">
        <f ca="1">SUM(O268:O269)</f>
        <v>0.41414550497531333</v>
      </c>
      <c r="Q270"/>
      <c r="R270"/>
      <c r="S270"/>
      <c r="T270"/>
      <c r="U270" s="23"/>
      <c r="V270" s="23"/>
      <c r="W270"/>
    </row>
    <row r="271" spans="2:23" ht="12.95" customHeight="1" x14ac:dyDescent="0.25">
      <c r="B271" s="92"/>
      <c r="C271" s="92"/>
      <c r="D271" s="92"/>
      <c r="E271" s="92"/>
      <c r="F271" s="92"/>
      <c r="G271" s="92"/>
      <c r="H271" s="240"/>
      <c r="I271" s="240"/>
      <c r="J271" s="241"/>
      <c r="K271" s="92"/>
      <c r="L271" s="92"/>
      <c r="M271" s="92"/>
      <c r="N271" s="92"/>
      <c r="O271" s="92"/>
      <c r="Q271"/>
      <c r="R271"/>
      <c r="S271"/>
      <c r="T271"/>
      <c r="U271" s="23"/>
      <c r="V271" s="23"/>
      <c r="W271"/>
    </row>
    <row r="272" spans="2:23" ht="12.95" customHeight="1" x14ac:dyDescent="0.25">
      <c r="B272" s="93" t="s">
        <v>108</v>
      </c>
      <c r="C272" s="93"/>
      <c r="D272" s="93"/>
      <c r="E272" s="93"/>
      <c r="F272" s="93"/>
      <c r="G272" s="93"/>
      <c r="H272" s="243"/>
      <c r="I272" s="243"/>
      <c r="J272" s="244"/>
      <c r="K272" s="252">
        <v>1.7519655754835384</v>
      </c>
      <c r="L272" s="252">
        <v>1.8897813482492836</v>
      </c>
      <c r="M272" s="252">
        <v>2.0461537477420828</v>
      </c>
      <c r="N272" s="252">
        <v>2.2238376131299549</v>
      </c>
      <c r="O272" s="252">
        <v>2.4260848906868127</v>
      </c>
      <c r="Q272"/>
      <c r="R272"/>
      <c r="S272"/>
      <c r="T272"/>
      <c r="U272" s="23"/>
      <c r="V272" s="23"/>
      <c r="W272"/>
    </row>
    <row r="273" spans="2:23" ht="12.95" customHeight="1" x14ac:dyDescent="0.25">
      <c r="B273" s="93" t="s">
        <v>147</v>
      </c>
      <c r="C273" s="93"/>
      <c r="D273" s="93"/>
      <c r="E273" s="93"/>
      <c r="F273" s="93"/>
      <c r="G273" s="93"/>
      <c r="H273" s="245"/>
      <c r="I273" s="245"/>
      <c r="J273" s="246"/>
      <c r="K273" s="112">
        <v>10</v>
      </c>
      <c r="L273" s="185">
        <f>+K273</f>
        <v>10</v>
      </c>
      <c r="M273" s="185">
        <f>+L273</f>
        <v>10</v>
      </c>
      <c r="N273" s="185">
        <f>+M273</f>
        <v>10</v>
      </c>
      <c r="O273" s="185">
        <f>+N273</f>
        <v>10</v>
      </c>
      <c r="Q273"/>
      <c r="R273"/>
      <c r="S273"/>
      <c r="T273"/>
      <c r="U273" s="23"/>
      <c r="V273" s="23"/>
      <c r="W273"/>
    </row>
    <row r="274" spans="2:23" s="21" customFormat="1" ht="12.95" customHeight="1" x14ac:dyDescent="0.25">
      <c r="B274" s="183" t="s">
        <v>148</v>
      </c>
      <c r="C274" s="183"/>
      <c r="D274" s="183"/>
      <c r="E274" s="183"/>
      <c r="F274" s="183"/>
      <c r="G274" s="183"/>
      <c r="H274" s="247"/>
      <c r="I274" s="247"/>
      <c r="J274" s="248"/>
      <c r="K274" s="186">
        <f>+K272*K273</f>
        <v>17.519655754835384</v>
      </c>
      <c r="L274" s="186">
        <f>+L272*L273</f>
        <v>18.897813482492836</v>
      </c>
      <c r="M274" s="186">
        <f>+M272*M273</f>
        <v>20.461537477420826</v>
      </c>
      <c r="N274" s="186">
        <f>+N272*N273</f>
        <v>22.23837613129955</v>
      </c>
      <c r="O274" s="186">
        <f>+O272*O273</f>
        <v>24.260848906868127</v>
      </c>
      <c r="Q274"/>
      <c r="R274"/>
      <c r="S274"/>
      <c r="T274"/>
      <c r="U274" s="23"/>
      <c r="V274" s="23"/>
      <c r="W274"/>
    </row>
    <row r="275" spans="2:23" s="21" customFormat="1" ht="12.95" customHeight="1" x14ac:dyDescent="0.25">
      <c r="B275" s="92"/>
      <c r="C275" s="92"/>
      <c r="D275" s="92"/>
      <c r="E275" s="92"/>
      <c r="F275" s="92"/>
      <c r="G275" s="92"/>
      <c r="H275" s="249"/>
      <c r="I275" s="249"/>
      <c r="J275" s="250"/>
      <c r="K275" s="188"/>
      <c r="L275" s="188"/>
      <c r="M275" s="188"/>
      <c r="N275" s="188"/>
      <c r="O275" s="188"/>
      <c r="Q275"/>
      <c r="R275"/>
      <c r="S275"/>
      <c r="T275"/>
      <c r="U275" s="23"/>
      <c r="V275" s="23"/>
      <c r="W275"/>
    </row>
    <row r="276" spans="2:23" s="21" customFormat="1" ht="12.95" customHeight="1" x14ac:dyDescent="0.25">
      <c r="B276" s="254" t="s">
        <v>157</v>
      </c>
      <c r="C276" s="92"/>
      <c r="D276" s="92"/>
      <c r="E276" s="92"/>
      <c r="F276" s="92"/>
      <c r="G276" s="92"/>
      <c r="H276" s="249"/>
      <c r="I276" s="249"/>
      <c r="J276" s="250"/>
      <c r="K276" s="188"/>
      <c r="L276" s="188"/>
      <c r="M276" s="188"/>
      <c r="N276" s="188"/>
      <c r="O276" s="188"/>
      <c r="Q276"/>
      <c r="R276"/>
      <c r="S276"/>
      <c r="T276"/>
      <c r="U276" s="23"/>
      <c r="V276" s="23"/>
      <c r="W276"/>
    </row>
    <row r="277" spans="2:23" s="21" customFormat="1" ht="12.95" customHeight="1" x14ac:dyDescent="0.25">
      <c r="B277" s="93" t="s">
        <v>149</v>
      </c>
      <c r="C277" s="92"/>
      <c r="D277" s="92"/>
      <c r="E277" s="92"/>
      <c r="F277" s="92"/>
      <c r="G277" s="92"/>
      <c r="H277" s="226"/>
      <c r="I277" s="136"/>
      <c r="J277" s="237"/>
      <c r="K277" s="111">
        <f>+J260</f>
        <v>101.5551580431645</v>
      </c>
      <c r="L277" s="111">
        <f ca="1">+K279</f>
        <v>101.90401653516366</v>
      </c>
      <c r="M277" s="111">
        <f ca="1">+L279</f>
        <v>102.2715337479319</v>
      </c>
      <c r="N277" s="111">
        <f ca="1">+M279</f>
        <v>102.65620817950474</v>
      </c>
      <c r="O277" s="111">
        <f ca="1">+N279</f>
        <v>103.05644930635414</v>
      </c>
      <c r="Q277"/>
      <c r="R277"/>
      <c r="S277"/>
      <c r="T277"/>
      <c r="U277" s="23"/>
      <c r="V277" s="23"/>
      <c r="W277"/>
    </row>
    <row r="278" spans="2:23" ht="12.95" customHeight="1" x14ac:dyDescent="0.25">
      <c r="B278" s="20" t="str">
        <f>+B270</f>
        <v>Net Shares Issued / (Repurchased)</v>
      </c>
      <c r="C278" s="20"/>
      <c r="D278" s="20"/>
      <c r="E278" s="20"/>
      <c r="F278" s="20"/>
      <c r="G278" s="20"/>
      <c r="H278" s="140"/>
      <c r="I278" s="140"/>
      <c r="J278" s="122"/>
      <c r="K278" s="77">
        <f ca="1">+K270</f>
        <v>0.34885849199916968</v>
      </c>
      <c r="L278" s="77">
        <f ca="1">+L270</f>
        <v>0.36751721276823185</v>
      </c>
      <c r="M278" s="77">
        <f ca="1">+M270</f>
        <v>0.3846744315728492</v>
      </c>
      <c r="N278" s="77">
        <f ca="1">+N270</f>
        <v>0.40024112684939772</v>
      </c>
      <c r="O278" s="77">
        <f ca="1">+O270</f>
        <v>0.41414550497531333</v>
      </c>
      <c r="Q278"/>
      <c r="R278"/>
      <c r="S278"/>
      <c r="T278"/>
      <c r="U278" s="23"/>
      <c r="V278" s="23"/>
      <c r="W278"/>
    </row>
    <row r="279" spans="2:23" s="21" customFormat="1" ht="12.95" customHeight="1" x14ac:dyDescent="0.25">
      <c r="B279" s="92" t="s">
        <v>150</v>
      </c>
      <c r="C279" s="92"/>
      <c r="D279" s="92"/>
      <c r="E279" s="92"/>
      <c r="F279" s="92"/>
      <c r="G279" s="92"/>
      <c r="H279" s="142"/>
      <c r="I279" s="142"/>
      <c r="J279" s="141"/>
      <c r="K279" s="189">
        <f ca="1">SUM(K277:K278)</f>
        <v>101.90401653516366</v>
      </c>
      <c r="L279" s="189">
        <f ca="1">SUM(L277:L278)</f>
        <v>102.2715337479319</v>
      </c>
      <c r="M279" s="189">
        <f ca="1">SUM(M277:M278)</f>
        <v>102.65620817950474</v>
      </c>
      <c r="N279" s="189">
        <f ca="1">SUM(N277:N278)</f>
        <v>103.05644930635414</v>
      </c>
      <c r="O279" s="189">
        <f ca="1">SUM(O277:O278)</f>
        <v>103.47059481132945</v>
      </c>
      <c r="Q279"/>
      <c r="R279"/>
      <c r="S279"/>
      <c r="T279"/>
      <c r="U279" s="23"/>
      <c r="V279" s="23"/>
      <c r="W279"/>
    </row>
    <row r="280" spans="2:23" ht="12.95" customHeight="1" x14ac:dyDescent="0.25">
      <c r="Q280"/>
      <c r="R280"/>
      <c r="S280"/>
      <c r="T280"/>
    </row>
    <row r="281" spans="2:23" ht="12.95" customHeight="1" x14ac:dyDescent="0.25">
      <c r="B281" s="26" t="s">
        <v>311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  <c r="Q281"/>
      <c r="R281"/>
      <c r="S281"/>
      <c r="T281"/>
    </row>
    <row r="282" spans="2:23" ht="12.95" customHeight="1" x14ac:dyDescent="0.2">
      <c r="H282" s="23"/>
      <c r="I282" s="23"/>
      <c r="J282" s="23"/>
      <c r="P282" s="93"/>
      <c r="Q282" s="93"/>
      <c r="R282" s="93"/>
    </row>
    <row r="283" spans="2:23" ht="12.95" customHeight="1" x14ac:dyDescent="0.2">
      <c r="B283" s="362" t="s">
        <v>360</v>
      </c>
      <c r="C283" s="363"/>
      <c r="D283" s="363"/>
      <c r="E283" s="363"/>
      <c r="F283" s="363"/>
      <c r="G283" s="363"/>
      <c r="H283" s="363"/>
      <c r="I283" s="363"/>
      <c r="J283" s="363"/>
      <c r="K283" s="363"/>
      <c r="L283" s="363"/>
      <c r="M283" s="363"/>
      <c r="N283" s="363"/>
      <c r="O283" s="363"/>
      <c r="P283" s="367"/>
      <c r="Q283" s="367"/>
      <c r="R283" s="93"/>
    </row>
    <row r="284" spans="2:23" ht="12.95" customHeight="1" x14ac:dyDescent="0.2">
      <c r="B284" s="81" t="s">
        <v>103</v>
      </c>
      <c r="C284" s="81"/>
      <c r="D284" s="81"/>
      <c r="E284" s="81"/>
      <c r="F284" s="81"/>
      <c r="G284" s="81"/>
      <c r="H284" s="81"/>
      <c r="I284" s="81"/>
      <c r="J284" s="81"/>
      <c r="K284" s="364">
        <v>8.2500000000000059E-2</v>
      </c>
      <c r="L284" s="364">
        <v>8.5000000000000062E-2</v>
      </c>
      <c r="M284" s="364">
        <v>8.7500000000000064E-2</v>
      </c>
      <c r="N284" s="364">
        <v>9.0000000000000066E-2</v>
      </c>
      <c r="O284" s="364">
        <v>9.2500000000000068E-2</v>
      </c>
      <c r="P284" s="93"/>
      <c r="Q284" s="93"/>
      <c r="R284" s="93"/>
    </row>
    <row r="285" spans="2:23" ht="12.95" customHeight="1" x14ac:dyDescent="0.2">
      <c r="B285" s="81" t="s">
        <v>104</v>
      </c>
      <c r="C285" s="81"/>
      <c r="D285" s="81"/>
      <c r="E285" s="81"/>
      <c r="F285" s="81"/>
      <c r="G285" s="81"/>
      <c r="H285" s="81"/>
      <c r="I285" s="81"/>
      <c r="J285" s="81"/>
      <c r="K285" s="364">
        <v>7.2500000000000064E-2</v>
      </c>
      <c r="L285" s="364">
        <v>7.5000000000000067E-2</v>
      </c>
      <c r="M285" s="364">
        <v>7.7500000000000069E-2</v>
      </c>
      <c r="N285" s="364">
        <v>8.0000000000000071E-2</v>
      </c>
      <c r="O285" s="364">
        <v>8.2500000000000073E-2</v>
      </c>
      <c r="P285" s="93"/>
      <c r="Q285" s="93"/>
      <c r="R285" s="93"/>
    </row>
    <row r="286" spans="2:23" ht="12.95" customHeight="1" x14ac:dyDescent="0.2">
      <c r="B286" s="363" t="s">
        <v>105</v>
      </c>
      <c r="C286" s="363"/>
      <c r="D286" s="363"/>
      <c r="E286" s="363"/>
      <c r="F286" s="363"/>
      <c r="G286" s="363"/>
      <c r="H286" s="363"/>
      <c r="I286" s="363"/>
      <c r="J286" s="363"/>
      <c r="K286" s="365">
        <v>6.2500000000000069E-2</v>
      </c>
      <c r="L286" s="365">
        <v>6.5000000000000072E-2</v>
      </c>
      <c r="M286" s="365">
        <v>6.7500000000000074E-2</v>
      </c>
      <c r="N286" s="365">
        <v>7.0000000000000076E-2</v>
      </c>
      <c r="O286" s="365">
        <v>7.2500000000000078E-2</v>
      </c>
      <c r="P286" s="93"/>
      <c r="Q286" s="93"/>
      <c r="R286" s="93"/>
    </row>
    <row r="287" spans="2:23" ht="12.95" customHeight="1" x14ac:dyDescent="0.2">
      <c r="B287" s="362" t="str">
        <f ca="1">+OFFSET(B283,$D$10,0)</f>
        <v>Mid (Base) Case</v>
      </c>
      <c r="C287" s="363"/>
      <c r="D287" s="363"/>
      <c r="E287" s="363"/>
      <c r="F287" s="363"/>
      <c r="G287" s="363"/>
      <c r="H287" s="363"/>
      <c r="I287" s="363"/>
      <c r="J287" s="363"/>
      <c r="K287" s="368">
        <f ca="1">+OFFSET(K283,$D$10,0)</f>
        <v>7.2500000000000064E-2</v>
      </c>
      <c r="L287" s="368">
        <f t="shared" ref="L287:O287" ca="1" si="39">+OFFSET(L283,$D$10,0)</f>
        <v>7.5000000000000067E-2</v>
      </c>
      <c r="M287" s="368">
        <f t="shared" ca="1" si="39"/>
        <v>7.7500000000000069E-2</v>
      </c>
      <c r="N287" s="368">
        <f t="shared" ca="1" si="39"/>
        <v>8.0000000000000071E-2</v>
      </c>
      <c r="O287" s="368">
        <f t="shared" ca="1" si="39"/>
        <v>8.2500000000000073E-2</v>
      </c>
      <c r="P287" s="93"/>
      <c r="Q287" s="93"/>
      <c r="R287" s="93"/>
    </row>
    <row r="288" spans="2:23" ht="12.95" customHeight="1" x14ac:dyDescent="0.2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2.95" customHeight="1" x14ac:dyDescent="0.2">
      <c r="B289" s="362" t="s">
        <v>45</v>
      </c>
      <c r="C289" s="363"/>
      <c r="D289" s="363"/>
      <c r="E289" s="363"/>
      <c r="F289" s="363"/>
      <c r="G289" s="363"/>
      <c r="H289" s="363"/>
      <c r="I289" s="363"/>
      <c r="J289" s="363"/>
      <c r="K289" s="363"/>
      <c r="L289" s="363"/>
      <c r="M289" s="363"/>
      <c r="N289" s="363"/>
      <c r="O289" s="363"/>
    </row>
    <row r="290" spans="2:15" ht="12.95" customHeight="1" x14ac:dyDescent="0.2">
      <c r="B290" s="81" t="s">
        <v>103</v>
      </c>
      <c r="C290" s="81"/>
      <c r="D290" s="81"/>
      <c r="E290" s="81"/>
      <c r="F290" s="81"/>
      <c r="G290" s="81"/>
      <c r="H290" s="81"/>
      <c r="I290" s="81"/>
      <c r="J290" s="81"/>
      <c r="K290" s="364">
        <v>0.45150000000000001</v>
      </c>
      <c r="L290" s="364">
        <v>0.45350000000000001</v>
      </c>
      <c r="M290" s="364">
        <v>0.45550000000000002</v>
      </c>
      <c r="N290" s="364">
        <v>0.45750000000000002</v>
      </c>
      <c r="O290" s="364">
        <v>0.45950000000000002</v>
      </c>
    </row>
    <row r="291" spans="2:15" ht="12.95" customHeight="1" x14ac:dyDescent="0.2">
      <c r="B291" s="81" t="s">
        <v>104</v>
      </c>
      <c r="C291" s="81"/>
      <c r="D291" s="81"/>
      <c r="E291" s="81"/>
      <c r="F291" s="81"/>
      <c r="G291" s="81"/>
      <c r="H291" s="81"/>
      <c r="I291" s="81"/>
      <c r="J291" s="81"/>
      <c r="K291" s="364">
        <v>0.44400000000000001</v>
      </c>
      <c r="L291" s="364">
        <v>0.44600000000000001</v>
      </c>
      <c r="M291" s="364">
        <v>0.44800000000000001</v>
      </c>
      <c r="N291" s="364">
        <v>0.45</v>
      </c>
      <c r="O291" s="364">
        <v>0.45200000000000001</v>
      </c>
    </row>
    <row r="292" spans="2:15" ht="12.95" customHeight="1" x14ac:dyDescent="0.2">
      <c r="B292" s="363" t="s">
        <v>105</v>
      </c>
      <c r="C292" s="363"/>
      <c r="D292" s="363"/>
      <c r="E292" s="363"/>
      <c r="F292" s="363"/>
      <c r="G292" s="363"/>
      <c r="H292" s="363"/>
      <c r="I292" s="363"/>
      <c r="J292" s="363"/>
      <c r="K292" s="365">
        <v>0.4365</v>
      </c>
      <c r="L292" s="365">
        <v>0.4385</v>
      </c>
      <c r="M292" s="365">
        <v>0.4405</v>
      </c>
      <c r="N292" s="365">
        <v>0.4425</v>
      </c>
      <c r="O292" s="365">
        <v>0.44450000000000001</v>
      </c>
    </row>
    <row r="293" spans="2:15" ht="12.95" customHeight="1" x14ac:dyDescent="0.2">
      <c r="B293" s="362" t="str">
        <f ca="1">+OFFSET(B289,$D$10,0)</f>
        <v>Mid (Base) Case</v>
      </c>
      <c r="C293" s="363"/>
      <c r="D293" s="363"/>
      <c r="E293" s="363"/>
      <c r="F293" s="363"/>
      <c r="G293" s="363"/>
      <c r="H293" s="363"/>
      <c r="I293" s="363"/>
      <c r="J293" s="363"/>
      <c r="K293" s="368">
        <f ca="1">+OFFSET(K289,$D$10,0)</f>
        <v>0.44400000000000001</v>
      </c>
      <c r="L293" s="368">
        <f t="shared" ref="L293:O293" ca="1" si="40">+OFFSET(L289,$D$10,0)</f>
        <v>0.44600000000000001</v>
      </c>
      <c r="M293" s="368">
        <f t="shared" ca="1" si="40"/>
        <v>0.44800000000000001</v>
      </c>
      <c r="N293" s="368">
        <f t="shared" ca="1" si="40"/>
        <v>0.45</v>
      </c>
      <c r="O293" s="368">
        <f t="shared" ca="1" si="40"/>
        <v>0.45200000000000001</v>
      </c>
    </row>
    <row r="294" spans="2:15" ht="12.95" customHeight="1" x14ac:dyDescent="0.2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2.95" customHeight="1" x14ac:dyDescent="0.2">
      <c r="B295" s="362" t="s">
        <v>361</v>
      </c>
      <c r="C295" s="363"/>
      <c r="D295" s="363"/>
      <c r="E295" s="363"/>
      <c r="F295" s="363"/>
      <c r="G295" s="363"/>
      <c r="H295" s="363"/>
      <c r="I295" s="363"/>
      <c r="J295" s="363"/>
      <c r="K295" s="363"/>
      <c r="L295" s="363"/>
      <c r="M295" s="363"/>
      <c r="N295" s="363"/>
      <c r="O295" s="363"/>
    </row>
    <row r="296" spans="2:15" ht="12.95" customHeight="1" x14ac:dyDescent="0.2">
      <c r="B296" s="81" t="s">
        <v>103</v>
      </c>
      <c r="C296" s="81"/>
      <c r="D296" s="81"/>
      <c r="E296" s="81"/>
      <c r="F296" s="81"/>
      <c r="G296" s="81"/>
      <c r="H296" s="81"/>
      <c r="I296" s="81"/>
      <c r="J296" s="81"/>
      <c r="K296" s="364">
        <v>0.26800000000000002</v>
      </c>
      <c r="L296" s="364">
        <v>0.26650000000000001</v>
      </c>
      <c r="M296" s="364">
        <v>0.26500000000000001</v>
      </c>
      <c r="N296" s="364">
        <v>0.26350000000000001</v>
      </c>
      <c r="O296" s="364">
        <v>0.26200000000000001</v>
      </c>
    </row>
    <row r="297" spans="2:15" ht="12.95" customHeight="1" x14ac:dyDescent="0.2">
      <c r="B297" s="81" t="s">
        <v>104</v>
      </c>
      <c r="C297" s="81"/>
      <c r="D297" s="81"/>
      <c r="E297" s="81"/>
      <c r="F297" s="81"/>
      <c r="G297" s="81"/>
      <c r="H297" s="81"/>
      <c r="I297" s="81"/>
      <c r="J297" s="81"/>
      <c r="K297" s="364">
        <v>0.27300000000000002</v>
      </c>
      <c r="L297" s="364">
        <v>0.27150000000000002</v>
      </c>
      <c r="M297" s="364">
        <v>0.27</v>
      </c>
      <c r="N297" s="364">
        <v>0.26850000000000002</v>
      </c>
      <c r="O297" s="364">
        <v>0.26700000000000002</v>
      </c>
    </row>
    <row r="298" spans="2:15" ht="12.95" customHeight="1" x14ac:dyDescent="0.2">
      <c r="B298" s="363" t="s">
        <v>105</v>
      </c>
      <c r="C298" s="363"/>
      <c r="D298" s="363"/>
      <c r="E298" s="363"/>
      <c r="F298" s="363"/>
      <c r="G298" s="363"/>
      <c r="H298" s="363"/>
      <c r="I298" s="363"/>
      <c r="J298" s="363"/>
      <c r="K298" s="365">
        <v>0.27800000000000002</v>
      </c>
      <c r="L298" s="365">
        <v>0.27650000000000002</v>
      </c>
      <c r="M298" s="365">
        <v>0.27500000000000002</v>
      </c>
      <c r="N298" s="365">
        <v>0.27350000000000002</v>
      </c>
      <c r="O298" s="365">
        <v>0.27200000000000002</v>
      </c>
    </row>
    <row r="299" spans="2:15" ht="12.95" customHeight="1" x14ac:dyDescent="0.2">
      <c r="B299" s="362" t="str">
        <f ca="1">+OFFSET(B295,$D$10,0)</f>
        <v>Mid (Base) Case</v>
      </c>
      <c r="C299" s="363"/>
      <c r="D299" s="363"/>
      <c r="E299" s="363"/>
      <c r="F299" s="363"/>
      <c r="G299" s="363"/>
      <c r="H299" s="363"/>
      <c r="I299" s="363"/>
      <c r="J299" s="363"/>
      <c r="K299" s="368">
        <f ca="1">+OFFSET(K295,$D$10,0)</f>
        <v>0.27300000000000002</v>
      </c>
      <c r="L299" s="368">
        <f t="shared" ref="L299:O299" ca="1" si="41">+OFFSET(L295,$D$10,0)</f>
        <v>0.27150000000000002</v>
      </c>
      <c r="M299" s="368">
        <f t="shared" ca="1" si="41"/>
        <v>0.27</v>
      </c>
      <c r="N299" s="368">
        <f t="shared" ca="1" si="41"/>
        <v>0.26850000000000002</v>
      </c>
      <c r="O299" s="368">
        <f t="shared" ca="1" si="41"/>
        <v>0.26700000000000002</v>
      </c>
    </row>
  </sheetData>
  <conditionalFormatting sqref="A209:A224 A226:A234 A271:A280 A236:A252 A254:A267 A290:A1048576 A1:A207">
    <cfRule type="expression" dxfId="11" priority="7">
      <formula>$D$18&gt;0</formula>
    </cfRule>
  </conditionalFormatting>
  <conditionalFormatting sqref="A208">
    <cfRule type="expression" dxfId="10" priority="6">
      <formula>$D$18&gt;0</formula>
    </cfRule>
  </conditionalFormatting>
  <conditionalFormatting sqref="A225">
    <cfRule type="expression" dxfId="9" priority="5">
      <formula>$D$18&gt;0</formula>
    </cfRule>
  </conditionalFormatting>
  <conditionalFormatting sqref="A235">
    <cfRule type="expression" dxfId="8" priority="4">
      <formula>$D$18&gt;0</formula>
    </cfRule>
  </conditionalFormatting>
  <conditionalFormatting sqref="A243">
    <cfRule type="expression" dxfId="7" priority="3">
      <formula>$D$18&gt;0</formula>
    </cfRule>
  </conditionalFormatting>
  <conditionalFormatting sqref="A253">
    <cfRule type="expression" dxfId="6" priority="2">
      <formula>$D$18&gt;0</formula>
    </cfRule>
  </conditionalFormatting>
  <conditionalFormatting sqref="A268:A270">
    <cfRule type="expression" dxfId="5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8" manualBreakCount="8">
    <brk id="21" min="1" max="14" man="1"/>
    <brk id="60" min="1" max="14" man="1"/>
    <brk id="112" min="1" max="14" man="1"/>
    <brk id="146" min="1" max="14" man="1"/>
    <brk id="172" min="1" max="14" man="1"/>
    <brk id="223" min="1" max="14" man="1"/>
    <brk id="251" min="1" max="14" man="1"/>
    <brk id="279" min="1" max="1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CDCB-ACB5-4B4E-9C01-2707CAC846C4}">
  <dimension ref="A2:X304"/>
  <sheetViews>
    <sheetView showGridLines="0" topLeftCell="A51" zoomScaleNormal="100" zoomScaleSheetLayoutView="85" workbookViewId="0">
      <selection activeCell="A51" sqref="A51"/>
    </sheetView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332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333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+IF(SUM(H142:O142)=0,0,1)</f>
        <v>1</v>
      </c>
    </row>
    <row r="17" spans="1:15" ht="12.95" customHeight="1" x14ac:dyDescent="0.2">
      <c r="B17" s="1" t="s">
        <v>8</v>
      </c>
      <c r="D17" s="259">
        <f ca="1">+IF(SUM(K237:O237)=0,0,1)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1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ca="1" si="0"/>
        <v>1478.7282679410305</v>
      </c>
      <c r="L27" s="147">
        <f t="shared" ca="1" si="0"/>
        <v>1589.6328880366079</v>
      </c>
      <c r="M27" s="147">
        <f t="shared" ca="1" si="0"/>
        <v>1712.8294368594452</v>
      </c>
      <c r="N27" s="147">
        <f t="shared" ca="1" si="0"/>
        <v>1849.8557918082008</v>
      </c>
      <c r="O27" s="147">
        <f t="shared" ca="1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ca="1" si="1"/>
        <v>7.2500000000000009E-2</v>
      </c>
      <c r="L28" s="218">
        <f t="shared" ca="1" si="1"/>
        <v>7.5000000000000178E-2</v>
      </c>
      <c r="M28" s="218">
        <f t="shared" ca="1" si="1"/>
        <v>7.7500000000000124E-2</v>
      </c>
      <c r="N28" s="218">
        <f t="shared" ca="1" si="1"/>
        <v>8.0000000000000071E-2</v>
      </c>
      <c r="O28" s="218">
        <f t="shared" ca="1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ca="1" si="2"/>
        <v>272.82536543511998</v>
      </c>
      <c r="L29" s="147">
        <f t="shared" ca="1" si="2"/>
        <v>299.64579939490051</v>
      </c>
      <c r="M29" s="147">
        <f t="shared" ca="1" si="2"/>
        <v>329.71966659544307</v>
      </c>
      <c r="N29" s="147">
        <f t="shared" ca="1" si="2"/>
        <v>363.49666309031136</v>
      </c>
      <c r="O29" s="147">
        <f t="shared" ca="1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ca="1" si="3"/>
        <v>0.18449999999999991</v>
      </c>
      <c r="L30" s="218">
        <f t="shared" ca="1" si="3"/>
        <v>0.18849999999999995</v>
      </c>
      <c r="M30" s="218">
        <f t="shared" ca="1" si="3"/>
        <v>0.19249999999999992</v>
      </c>
      <c r="N30" s="218">
        <f t="shared" ca="1" si="3"/>
        <v>0.19649999999999995</v>
      </c>
      <c r="O30" s="218">
        <f t="shared" ca="1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 ca="1">-K185</f>
        <v>21.441559885144944</v>
      </c>
      <c r="L33" s="160">
        <f ca="1">-L185</f>
        <v>23.84449332054912</v>
      </c>
      <c r="M33" s="160">
        <f ca="1">-M185</f>
        <v>26.548856271321402</v>
      </c>
      <c r="N33" s="160">
        <f ca="1">-N185</f>
        <v>29.597692668931213</v>
      </c>
      <c r="O33" s="160">
        <f ca="1">-O185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 ca="1">+K33/K27</f>
        <v>1.4500000000000001E-2</v>
      </c>
      <c r="L34" s="218">
        <f ca="1">+L33/L27</f>
        <v>1.5000000000000001E-2</v>
      </c>
      <c r="M34" s="218">
        <f ca="1">+M33/M27</f>
        <v>1.55E-2</v>
      </c>
      <c r="N34" s="218">
        <f ca="1">+N33/N27</f>
        <v>1.6E-2</v>
      </c>
      <c r="O34" s="218">
        <f ca="1"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328</v>
      </c>
      <c r="H38" s="143"/>
      <c r="I38" s="143"/>
      <c r="J38" s="120"/>
      <c r="K38" s="118">
        <f ca="1">+K84+K169</f>
        <v>283.93724612209644</v>
      </c>
      <c r="L38" s="118">
        <f ca="1">+L84+L169</f>
        <v>311.59107113340019</v>
      </c>
      <c r="M38" s="118">
        <f ca="1">+M84+M169</f>
        <v>342.59069689367647</v>
      </c>
      <c r="N38" s="118">
        <f ca="1">+N84+N169</f>
        <v>377.39737581240342</v>
      </c>
      <c r="O38" s="118">
        <f ca="1">+O84+O169</f>
        <v>416.54253489545624</v>
      </c>
    </row>
    <row r="39" spans="2:15" ht="12.95" customHeight="1" x14ac:dyDescent="0.2">
      <c r="B39" s="1" t="s">
        <v>330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 ca="1">+K180</f>
        <v>-10.511989007322436</v>
      </c>
      <c r="L41" s="137">
        <f ca="1">+L180</f>
        <v>-11.660916381467509</v>
      </c>
      <c r="M41" s="137">
        <f ca="1">+M180</f>
        <v>-12.951044653209886</v>
      </c>
      <c r="N41" s="137">
        <f ca="1">+N180</f>
        <v>-14.402236689579912</v>
      </c>
      <c r="O41" s="137">
        <f ca="1">+O180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 ca="1">-K33</f>
        <v>-21.441559885144944</v>
      </c>
      <c r="L42" s="137">
        <f ca="1">-L33</f>
        <v>-23.84449332054912</v>
      </c>
      <c r="M42" s="137">
        <f ca="1">-M33</f>
        <v>-26.548856271321402</v>
      </c>
      <c r="N42" s="137">
        <f ca="1">-N33</f>
        <v>-29.597692668931213</v>
      </c>
      <c r="O42" s="137">
        <f ca="1"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4">+K121</f>
        <v>0</v>
      </c>
      <c r="L49" s="137">
        <f t="shared" ca="1" si="4"/>
        <v>0</v>
      </c>
      <c r="M49" s="137">
        <f t="shared" ca="1" si="4"/>
        <v>0</v>
      </c>
      <c r="N49" s="137">
        <f t="shared" ca="1" si="4"/>
        <v>0</v>
      </c>
      <c r="O49" s="137">
        <f t="shared" ca="1" si="4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4"/>
        <v>50</v>
      </c>
      <c r="L50" s="140">
        <f t="shared" si="4"/>
        <v>50</v>
      </c>
      <c r="M50" s="140">
        <f t="shared" si="4"/>
        <v>50</v>
      </c>
      <c r="N50" s="140">
        <f t="shared" si="4"/>
        <v>50</v>
      </c>
      <c r="O50" s="140">
        <f t="shared" si="4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1030.7937503221042</v>
      </c>
      <c r="L52" s="140">
        <f t="shared" ref="L52:O52" ca="1" si="5">+SUM(L125:L127)</f>
        <v>1257.0450249459884</v>
      </c>
      <c r="M52" s="140">
        <f t="shared" ca="1" si="5"/>
        <v>1506.2432970457739</v>
      </c>
      <c r="N52" s="140">
        <f t="shared" ca="1" si="5"/>
        <v>1781.1760392256213</v>
      </c>
      <c r="O52" s="140">
        <f t="shared" ca="1" si="5"/>
        <v>2085.016461995885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1080.7937503221042</v>
      </c>
      <c r="L53" s="147">
        <f ca="1">SUM(L51:L52)</f>
        <v>1307.0450249459884</v>
      </c>
      <c r="M53" s="147">
        <f ca="1">SUM(M51:M52)</f>
        <v>1556.2432970457739</v>
      </c>
      <c r="N53" s="147">
        <f ca="1">SUM(N51:N52)</f>
        <v>1831.1760392256213</v>
      </c>
      <c r="O53" s="147">
        <f ca="1">SUM(O51:O52)</f>
        <v>2135.016461995885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285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 ca="1">+J64*(1+K89)</f>
        <v>1478.7282679410305</v>
      </c>
      <c r="L64" s="195">
        <f ca="1">+K64*(1+L89)</f>
        <v>1589.6328880366079</v>
      </c>
      <c r="M64" s="195">
        <f ca="1">+L64*(1+M89)</f>
        <v>1712.8294368594452</v>
      </c>
      <c r="N64" s="195">
        <f ca="1">+M64*(1+N89)</f>
        <v>1849.8557918082008</v>
      </c>
      <c r="O64" s="195">
        <f ca="1"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 ca="1">-(K64*(1-K90))</f>
        <v>-822.17291697521307</v>
      </c>
      <c r="L65" s="153">
        <f ca="1">-(L64*(1-L90))</f>
        <v>-880.65661997228085</v>
      </c>
      <c r="M65" s="153">
        <f ca="1">-(M64*(1-M90))</f>
        <v>-945.48184914641388</v>
      </c>
      <c r="N65" s="153">
        <f ca="1">-(N64*(1-N90))</f>
        <v>-1017.4206854945105</v>
      </c>
      <c r="O65" s="153">
        <f ca="1"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6">SUM(H64:H65)</f>
        <v>529.94622062969995</v>
      </c>
      <c r="I66" s="53">
        <f t="shared" si="6"/>
        <v>566.96986070108994</v>
      </c>
      <c r="J66" s="54">
        <f t="shared" si="6"/>
        <v>609.41528618175801</v>
      </c>
      <c r="K66" s="134">
        <f t="shared" ca="1" si="6"/>
        <v>656.55535096581741</v>
      </c>
      <c r="L66" s="135">
        <f t="shared" ca="1" si="6"/>
        <v>708.97626806432709</v>
      </c>
      <c r="M66" s="135">
        <f t="shared" ca="1" si="6"/>
        <v>767.34758771303132</v>
      </c>
      <c r="N66" s="135">
        <f t="shared" ca="1" si="6"/>
        <v>832.43510631369031</v>
      </c>
      <c r="O66" s="135">
        <f t="shared" ca="1" si="6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 ca="1">-K64*K91</f>
        <v>-403.69281714790134</v>
      </c>
      <c r="L67" s="135">
        <f ca="1">-L64*L91</f>
        <v>-431.58532910193907</v>
      </c>
      <c r="M67" s="135">
        <f ca="1">-M64*M91</f>
        <v>-462.46394795205021</v>
      </c>
      <c r="N67" s="135">
        <f ca="1">-N64*N91</f>
        <v>-496.68628010050196</v>
      </c>
      <c r="O67" s="135">
        <f ca="1"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7">+SUM(H66:H67)</f>
        <v>194.19262194307487</v>
      </c>
      <c r="I68" s="55">
        <f t="shared" si="7"/>
        <v>211.32512989767895</v>
      </c>
      <c r="J68" s="56">
        <f t="shared" si="7"/>
        <v>230.9435756458019</v>
      </c>
      <c r="K68" s="196">
        <f t="shared" ca="1" si="7"/>
        <v>252.86253381791607</v>
      </c>
      <c r="L68" s="196">
        <f t="shared" ca="1" si="7"/>
        <v>277.39093896238802</v>
      </c>
      <c r="M68" s="196">
        <f t="shared" ca="1" si="7"/>
        <v>304.88363976098111</v>
      </c>
      <c r="N68" s="196">
        <f t="shared" ca="1" si="7"/>
        <v>335.74882621318835</v>
      </c>
      <c r="O68" s="196">
        <f t="shared" ca="1" si="7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+K256</f>
        <v>8.0115731903898535</v>
      </c>
      <c r="L69" s="135">
        <f ca="1">+L256</f>
        <v>9.859736229226117</v>
      </c>
      <c r="M69" s="135">
        <f ca="1">+M256</f>
        <v>11.899850714933278</v>
      </c>
      <c r="N69" s="135">
        <f ca="1">+N256</f>
        <v>14.154960376061672</v>
      </c>
      <c r="O69" s="135">
        <f ca="1">+O256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-(K234+K245)</f>
        <v>-2.5</v>
      </c>
      <c r="L70" s="217">
        <f ca="1">-(L234+L245)</f>
        <v>-2.5</v>
      </c>
      <c r="M70" s="217">
        <f ca="1">-(M234+M245)</f>
        <v>-2.5</v>
      </c>
      <c r="N70" s="217">
        <f ca="1">-(N234+N245)</f>
        <v>-2.5</v>
      </c>
      <c r="O70" s="217">
        <f ca="1">-(O234+O245)</f>
        <v>-2.5</v>
      </c>
    </row>
    <row r="71" spans="2:15" ht="12.95" customHeight="1" x14ac:dyDescent="0.2">
      <c r="B71" s="1" t="s">
        <v>37</v>
      </c>
      <c r="H71" s="53">
        <f t="shared" ref="H71:O71" si="8">+SUM(H68:H70)</f>
        <v>195.11265228478928</v>
      </c>
      <c r="I71" s="53">
        <f t="shared" si="8"/>
        <v>213.63592421907794</v>
      </c>
      <c r="J71" s="54">
        <f t="shared" si="8"/>
        <v>234.77863638934826</v>
      </c>
      <c r="K71" s="134">
        <f t="shared" ca="1" si="8"/>
        <v>258.37410700830594</v>
      </c>
      <c r="L71" s="134">
        <f t="shared" ca="1" si="8"/>
        <v>284.75067519161416</v>
      </c>
      <c r="M71" s="134">
        <f t="shared" ca="1" si="8"/>
        <v>314.28349047591439</v>
      </c>
      <c r="N71" s="134">
        <f t="shared" ca="1" si="8"/>
        <v>347.40378658925005</v>
      </c>
      <c r="O71" s="134">
        <f t="shared" ca="1" si="8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9">+SUM(H71:H72)</f>
        <v>144.38336269074406</v>
      </c>
      <c r="I73" s="55">
        <f t="shared" si="9"/>
        <v>158.09058392211767</v>
      </c>
      <c r="J73" s="56">
        <f t="shared" si="9"/>
        <v>173.73619092811771</v>
      </c>
      <c r="K73" s="145">
        <f t="shared" ca="1" si="9"/>
        <v>191.19683918614641</v>
      </c>
      <c r="L73" s="145">
        <f t="shared" ca="1" si="9"/>
        <v>210.71549964179448</v>
      </c>
      <c r="M73" s="145">
        <f t="shared" ca="1" si="9"/>
        <v>232.56978295217664</v>
      </c>
      <c r="N73" s="145">
        <f t="shared" ca="1" si="9"/>
        <v>257.07880207604501</v>
      </c>
      <c r="O73" s="145">
        <f t="shared" ca="1" si="9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 ca="1">+K265</f>
        <v>101.90401653516366</v>
      </c>
      <c r="L75" s="193">
        <f ca="1">+L265</f>
        <v>102.2715337479319</v>
      </c>
      <c r="M75" s="193">
        <f ca="1">+M265</f>
        <v>102.65620817950474</v>
      </c>
      <c r="N75" s="193">
        <f ca="1">+N265</f>
        <v>103.05644930635414</v>
      </c>
      <c r="O75" s="193">
        <f ca="1">+O265</f>
        <v>103.47059481132945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0">+H73/H75</f>
        <v>1.4308113800816931</v>
      </c>
      <c r="I76" s="126">
        <f t="shared" si="10"/>
        <v>1.5617690450035633</v>
      </c>
      <c r="J76" s="127">
        <f t="shared" si="10"/>
        <v>1.7107569352043521</v>
      </c>
      <c r="K76" s="200">
        <f t="shared" ca="1" si="10"/>
        <v>1.87624438846501</v>
      </c>
      <c r="L76" s="200">
        <f t="shared" ca="1" si="10"/>
        <v>2.0603533741964197</v>
      </c>
      <c r="M76" s="200">
        <f t="shared" ca="1" si="10"/>
        <v>2.265520878635074</v>
      </c>
      <c r="N76" s="200">
        <f t="shared" ca="1" si="10"/>
        <v>2.4945435613818914</v>
      </c>
      <c r="O76" s="200">
        <f t="shared" ca="1" si="10"/>
        <v>2.7506358397459154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 ca="1">+K267</f>
        <v>106.90401653516366</v>
      </c>
      <c r="L78" s="193">
        <f ca="1">+L267</f>
        <v>107.2715337479319</v>
      </c>
      <c r="M78" s="193">
        <f ca="1">+M267</f>
        <v>107.65620817950474</v>
      </c>
      <c r="N78" s="193">
        <f ca="1">+N267</f>
        <v>108.05644930635414</v>
      </c>
      <c r="O78" s="193">
        <f ca="1">+O267</f>
        <v>108.47059481132945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1">+H73/H78</f>
        <v>1.3632630078415335</v>
      </c>
      <c r="I79" s="126">
        <f t="shared" si="11"/>
        <v>1.4882569611323133</v>
      </c>
      <c r="J79" s="127">
        <f t="shared" si="11"/>
        <v>1.6304812842353329</v>
      </c>
      <c r="K79" s="200">
        <f t="shared" ca="1" si="11"/>
        <v>1.7884906983196138</v>
      </c>
      <c r="L79" s="200">
        <f t="shared" ca="1" si="11"/>
        <v>1.964318885725421</v>
      </c>
      <c r="M79" s="200">
        <f t="shared" ca="1" si="11"/>
        <v>2.1603007098707434</v>
      </c>
      <c r="N79" s="200">
        <f t="shared" ca="1" si="11"/>
        <v>2.3791157651978092</v>
      </c>
      <c r="O79" s="200">
        <f t="shared" ca="1" si="11"/>
        <v>2.6238440652318045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12">+H68</f>
        <v>194.19262194307487</v>
      </c>
      <c r="I82" s="53">
        <f t="shared" si="12"/>
        <v>211.32512989767895</v>
      </c>
      <c r="J82" s="54">
        <f t="shared" si="12"/>
        <v>230.9435756458019</v>
      </c>
      <c r="K82" s="197">
        <f t="shared" ca="1" si="12"/>
        <v>252.86253381791607</v>
      </c>
      <c r="L82" s="197">
        <f t="shared" ca="1" si="12"/>
        <v>277.39093896238802</v>
      </c>
      <c r="M82" s="197">
        <f t="shared" ca="1" si="12"/>
        <v>304.88363976098111</v>
      </c>
      <c r="N82" s="197">
        <f t="shared" ca="1" si="12"/>
        <v>335.74882621318835</v>
      </c>
      <c r="O82" s="197">
        <f t="shared" ca="1" si="12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 ca="1">+K133</f>
        <v>19.962831617203911</v>
      </c>
      <c r="L83" s="134">
        <f t="shared" ref="L83:O83" ca="1" si="13">+L133</f>
        <v>22.254860432512512</v>
      </c>
      <c r="M83" s="134">
        <f t="shared" ca="1" si="13"/>
        <v>24.836026834461958</v>
      </c>
      <c r="N83" s="134">
        <f t="shared" ca="1" si="13"/>
        <v>27.747836877123014</v>
      </c>
      <c r="O83" s="134">
        <f t="shared" ca="1" si="13"/>
        <v>31.038267866801853</v>
      </c>
    </row>
    <row r="84" spans="2:15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ca="1" si="14"/>
        <v>272.82536543511998</v>
      </c>
      <c r="L84" s="197">
        <f t="shared" ca="1" si="14"/>
        <v>299.64579939490051</v>
      </c>
      <c r="M84" s="197">
        <f t="shared" ca="1" si="14"/>
        <v>329.71966659544307</v>
      </c>
      <c r="N84" s="197">
        <f t="shared" ca="1" si="14"/>
        <v>363.49666309031136</v>
      </c>
      <c r="O84" s="197">
        <f t="shared" ca="1" si="14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ca="1" si="15"/>
        <v>272.82536543511998</v>
      </c>
      <c r="L86" s="145">
        <f t="shared" ca="1" si="15"/>
        <v>299.64579939490051</v>
      </c>
      <c r="M86" s="145">
        <f t="shared" ca="1" si="15"/>
        <v>329.71966659544307</v>
      </c>
      <c r="N86" s="145">
        <f t="shared" ca="1" si="15"/>
        <v>363.49666309031136</v>
      </c>
      <c r="O86" s="145">
        <f t="shared" ca="1" si="15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71">
        <f ca="1">+K292</f>
        <v>7.2500000000000064E-2</v>
      </c>
      <c r="L89" s="61">
        <f t="shared" ref="L89:O89" ca="1" si="16">+L292</f>
        <v>7.5000000000000067E-2</v>
      </c>
      <c r="M89" s="61">
        <f t="shared" ca="1" si="16"/>
        <v>7.7500000000000069E-2</v>
      </c>
      <c r="N89" s="61">
        <f t="shared" ca="1" si="16"/>
        <v>8.0000000000000071E-2</v>
      </c>
      <c r="O89" s="61">
        <f t="shared" ca="1" si="16"/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71">
        <f ca="1">+K298</f>
        <v>0.44400000000000001</v>
      </c>
      <c r="L90" s="61">
        <f t="shared" ref="L90:O90" ca="1" si="17">+L298</f>
        <v>0.44600000000000001</v>
      </c>
      <c r="M90" s="61">
        <f t="shared" ca="1" si="17"/>
        <v>0.44800000000000001</v>
      </c>
      <c r="N90" s="61">
        <f t="shared" ca="1" si="17"/>
        <v>0.45</v>
      </c>
      <c r="O90" s="61">
        <f t="shared" ca="1" si="17"/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71">
        <f ca="1">+K304</f>
        <v>0.27300000000000002</v>
      </c>
      <c r="L91" s="61">
        <f t="shared" ref="L91:O91" ca="1" si="18">+L304</f>
        <v>0.27150000000000002</v>
      </c>
      <c r="M91" s="61">
        <f t="shared" ca="1" si="18"/>
        <v>0.27</v>
      </c>
      <c r="N91" s="61">
        <f t="shared" ca="1" si="18"/>
        <v>0.26850000000000002</v>
      </c>
      <c r="O91" s="61">
        <f t="shared" ca="1" si="18"/>
        <v>0.26700000000000002</v>
      </c>
    </row>
    <row r="92" spans="2:15" ht="12.95" customHeight="1" x14ac:dyDescent="0.2">
      <c r="B92" s="1" t="s">
        <v>47</v>
      </c>
      <c r="H92" s="63">
        <f t="shared" ref="H92:O92" si="19">+H86/H64</f>
        <v>0.17422744656671477</v>
      </c>
      <c r="I92" s="63">
        <f t="shared" si="19"/>
        <v>0.17956985466122871</v>
      </c>
      <c r="J92" s="64">
        <f t="shared" si="19"/>
        <v>0.18231321346059967</v>
      </c>
      <c r="K92" s="190">
        <f t="shared" ca="1" si="19"/>
        <v>0.18449999999999991</v>
      </c>
      <c r="L92" s="63">
        <f t="shared" ca="1" si="19"/>
        <v>0.18849999999999995</v>
      </c>
      <c r="M92" s="63">
        <f t="shared" ca="1" si="19"/>
        <v>0.19249999999999992</v>
      </c>
      <c r="N92" s="63">
        <f t="shared" ca="1" si="19"/>
        <v>0.19649999999999995</v>
      </c>
      <c r="O92" s="63">
        <f t="shared" ca="1" si="19"/>
        <v>0.20049999999999993</v>
      </c>
    </row>
    <row r="93" spans="2:15" ht="12.95" customHeight="1" x14ac:dyDescent="0.2">
      <c r="B93" s="1" t="s">
        <v>152</v>
      </c>
      <c r="I93" s="63">
        <f t="shared" ref="I93:O93" si="20">+I86/H86-1</f>
        <v>9.7656534505765391E-2</v>
      </c>
      <c r="J93" s="64">
        <f t="shared" si="20"/>
        <v>8.6346807880781418E-2</v>
      </c>
      <c r="K93" s="190">
        <f t="shared" ca="1" si="20"/>
        <v>8.536428185312861E-2</v>
      </c>
      <c r="L93" s="63">
        <f t="shared" ca="1" si="20"/>
        <v>9.8306233062330994E-2</v>
      </c>
      <c r="M93" s="63">
        <f t="shared" ca="1" si="20"/>
        <v>0.10036472148541109</v>
      </c>
      <c r="N93" s="63">
        <f t="shared" ca="1" si="20"/>
        <v>0.10244155844155856</v>
      </c>
      <c r="O93" s="63">
        <f t="shared" ca="1" si="20"/>
        <v>0.10453562340966926</v>
      </c>
    </row>
    <row r="94" spans="2:15" ht="12.95" customHeight="1" x14ac:dyDescent="0.2">
      <c r="B94" s="1" t="s">
        <v>136</v>
      </c>
      <c r="I94" s="63">
        <f t="shared" ref="I94:O94" si="21">+I73/H73-1</f>
        <v>9.493629304598783E-2</v>
      </c>
      <c r="J94" s="64">
        <f t="shared" si="21"/>
        <v>9.896609031254977E-2</v>
      </c>
      <c r="K94" s="190">
        <f t="shared" ca="1" si="21"/>
        <v>0.10050092709384262</v>
      </c>
      <c r="L94" s="63">
        <f t="shared" ca="1" si="21"/>
        <v>0.10208673186613204</v>
      </c>
      <c r="M94" s="63">
        <f t="shared" ca="1" si="21"/>
        <v>0.10371464532762564</v>
      </c>
      <c r="N94" s="63">
        <f t="shared" ca="1" si="21"/>
        <v>0.10538350602884705</v>
      </c>
      <c r="O94" s="63">
        <f t="shared" ca="1" si="21"/>
        <v>0.10709216065073179</v>
      </c>
    </row>
    <row r="95" spans="2:15" ht="12.95" customHeight="1" x14ac:dyDescent="0.2">
      <c r="B95" s="1" t="s">
        <v>137</v>
      </c>
      <c r="I95" s="63">
        <f t="shared" ref="I95:O95" si="22">+I79/H79-1</f>
        <v>9.168733587855793E-2</v>
      </c>
      <c r="J95" s="64">
        <f t="shared" si="22"/>
        <v>9.5564359393159437E-2</v>
      </c>
      <c r="K95" s="190">
        <f t="shared" ca="1" si="22"/>
        <v>9.6909676677696233E-2</v>
      </c>
      <c r="L95" s="63">
        <f t="shared" ca="1" si="22"/>
        <v>9.8310931989194827E-2</v>
      </c>
      <c r="M95" s="63">
        <f t="shared" ca="1" si="22"/>
        <v>9.9770880160807707E-2</v>
      </c>
      <c r="N95" s="63">
        <f t="shared" ca="1" si="22"/>
        <v>0.10128916512745945</v>
      </c>
      <c r="O95" s="63">
        <f t="shared" ca="1" si="22"/>
        <v>0.10286523405625347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3">+H83/H64</f>
        <v>1.0999999999999999E-2</v>
      </c>
      <c r="I97" s="65">
        <f t="shared" si="23"/>
        <v>1.2E-2</v>
      </c>
      <c r="J97" s="167">
        <f t="shared" si="23"/>
        <v>1.2999999999999999E-2</v>
      </c>
      <c r="K97" s="76">
        <f t="shared" ca="1" si="23"/>
        <v>1.35E-2</v>
      </c>
      <c r="L97" s="76">
        <f t="shared" ca="1" si="23"/>
        <v>1.4E-2</v>
      </c>
      <c r="M97" s="76">
        <f t="shared" ca="1" si="23"/>
        <v>1.4500000000000001E-2</v>
      </c>
      <c r="N97" s="76">
        <f t="shared" ca="1" si="23"/>
        <v>1.5000000000000001E-2</v>
      </c>
      <c r="O97" s="76">
        <f t="shared" ca="1" si="2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+J103+K196</f>
        <v>889.03639935826141</v>
      </c>
      <c r="L103" s="118">
        <f ca="1">+K103+L196</f>
        <v>1082.9108464869619</v>
      </c>
      <c r="M103" s="118">
        <f ca="1">+L103+M196</f>
        <v>1297.0592964996938</v>
      </c>
      <c r="N103" s="118">
        <f ca="1">+M103+N196</f>
        <v>1533.9327787126406</v>
      </c>
      <c r="O103" s="118">
        <f ca="1">+N103+O196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 ca="1">+(K150/365)*K145</f>
        <v>121.53930969378332</v>
      </c>
      <c r="L104" s="135">
        <f ca="1">+(L150/365)*L145</f>
        <v>130.65475792081708</v>
      </c>
      <c r="M104" s="135">
        <f ca="1">+(M150/365)*M145</f>
        <v>140.78050165968043</v>
      </c>
      <c r="N104" s="135">
        <f ca="1">+(N150/365)*N145</f>
        <v>152.04294179245485</v>
      </c>
      <c r="O104" s="135">
        <f ca="1">+(O150/365)*O145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 ca="1">+K146/K151</f>
        <v>164.43458339504261</v>
      </c>
      <c r="L105" s="137">
        <f ca="1">+L146/L151</f>
        <v>176.13132399445618</v>
      </c>
      <c r="M105" s="137">
        <f ca="1">+M146/M151</f>
        <v>189.09636982928276</v>
      </c>
      <c r="N105" s="137">
        <f ca="1">+N146/N151</f>
        <v>203.4841370989021</v>
      </c>
      <c r="O105" s="137">
        <f ca="1">+O146/O151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 ca="1">+K152*K145</f>
        <v>38.446934966466785</v>
      </c>
      <c r="L106" s="140">
        <f ca="1">+L152*L145</f>
        <v>41.330455088951801</v>
      </c>
      <c r="M106" s="140">
        <f ca="1">+M152*M145</f>
        <v>44.53356535834557</v>
      </c>
      <c r="N106" s="140">
        <f ca="1">+N152*N145</f>
        <v>48.096250587013216</v>
      </c>
      <c r="O106" s="140">
        <f ca="1">+O152*O145</f>
        <v>52.064191260441802</v>
      </c>
      <c r="P106" s="143"/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4">+SUM(H103:H106)</f>
        <v>675.32399663851754</v>
      </c>
      <c r="I107" s="147">
        <f t="shared" si="24"/>
        <v>837.46596294440201</v>
      </c>
      <c r="J107" s="123">
        <f t="shared" si="24"/>
        <v>1016.3200283350651</v>
      </c>
      <c r="K107" s="154">
        <f t="shared" ca="1" si="24"/>
        <v>1213.4572274135542</v>
      </c>
      <c r="L107" s="147">
        <f t="shared" ca="1" si="24"/>
        <v>1431.0273834911868</v>
      </c>
      <c r="M107" s="147">
        <f t="shared" ca="1" si="24"/>
        <v>1671.4697333470026</v>
      </c>
      <c r="N107" s="147">
        <f t="shared" ca="1" si="24"/>
        <v>1937.5561081910107</v>
      </c>
      <c r="O107" s="147">
        <f t="shared" ca="1" si="24"/>
        <v>2232.4411291596175</v>
      </c>
      <c r="P107" s="175"/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P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 ca="1">+J109-K131-K133</f>
        <v>-35.303765965673264</v>
      </c>
      <c r="L109" s="136">
        <f t="shared" ref="L109:O109" ca="1" si="25">+K109-L131-L133</f>
        <v>-81.403119718734899</v>
      </c>
      <c r="M109" s="136">
        <f t="shared" ca="1" si="25"/>
        <v>-132.78800282451826</v>
      </c>
      <c r="N109" s="136">
        <f t="shared" ca="1" si="25"/>
        <v>-190.13353237057248</v>
      </c>
      <c r="O109" s="136">
        <f t="shared" ca="1" si="25"/>
        <v>-254.21253699880856</v>
      </c>
      <c r="P109" s="143"/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P110" s="143"/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 ca="1">+K153*K145</f>
        <v>59.149130717641221</v>
      </c>
      <c r="L111" s="137">
        <f ca="1">+L153*L145</f>
        <v>63.585315521464317</v>
      </c>
      <c r="M111" s="137">
        <f ca="1">+M153*M145</f>
        <v>68.513177474377812</v>
      </c>
      <c r="N111" s="137">
        <f ca="1">+N153*N145</f>
        <v>73.994231672328041</v>
      </c>
      <c r="O111" s="137">
        <f ca="1">+O153*O145</f>
        <v>80.098755785295097</v>
      </c>
      <c r="P111" s="143"/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6">+SUM(H107:H111)</f>
        <v>737.15420182016749</v>
      </c>
      <c r="I112" s="145">
        <f t="shared" si="26"/>
        <v>903.73053547447171</v>
      </c>
      <c r="J112" s="146">
        <f t="shared" si="26"/>
        <v>1087.5713585035742</v>
      </c>
      <c r="K112" s="145">
        <f t="shared" ca="1" si="26"/>
        <v>1247.3025921655221</v>
      </c>
      <c r="L112" s="145">
        <f t="shared" ca="1" si="26"/>
        <v>1423.2095792939162</v>
      </c>
      <c r="M112" s="145">
        <f t="shared" ca="1" si="26"/>
        <v>1617.1949079968622</v>
      </c>
      <c r="N112" s="145">
        <f t="shared" ca="1" si="26"/>
        <v>1831.4168074927661</v>
      </c>
      <c r="O112" s="145">
        <f t="shared" ca="1" si="26"/>
        <v>2068.3273479461041</v>
      </c>
      <c r="P112" s="144"/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P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 ca="1">+(K155/365)*K146</f>
        <v>67.575856189743533</v>
      </c>
      <c r="L114" s="137">
        <f ca="1">+(L155/365)*L146</f>
        <v>72.382735888132672</v>
      </c>
      <c r="M114" s="137">
        <f ca="1">+(M155/365)*M146</f>
        <v>77.710836916143606</v>
      </c>
      <c r="N114" s="137">
        <f ca="1">+(N155/365)*N146</f>
        <v>83.623617985850174</v>
      </c>
      <c r="O114" s="137">
        <f ca="1">+(O155/365)*O146</f>
        <v>90.193393500702157</v>
      </c>
      <c r="P114" s="143"/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 ca="1">+SUM(K146:K147)*K156</f>
        <v>71.100212579140646</v>
      </c>
      <c r="L115" s="137">
        <f ca="1">+SUM(L146:L147)*L156</f>
        <v>76.110033046304778</v>
      </c>
      <c r="M115" s="137">
        <f ca="1">+SUM(M146:M147)*M156</f>
        <v>81.660856231710923</v>
      </c>
      <c r="N115" s="137">
        <f ca="1">+SUM(N146:N147)*N156</f>
        <v>87.818204004510747</v>
      </c>
      <c r="O115" s="137">
        <f ca="1">+SUM(O146:O147)*O156</f>
        <v>94.656704649272498</v>
      </c>
      <c r="P115" s="143"/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 ca="1">+K145*K157</f>
        <v>73.936413397051524</v>
      </c>
      <c r="L116" s="140">
        <f ca="1">+L145*L157</f>
        <v>79.481644401830408</v>
      </c>
      <c r="M116" s="140">
        <f ca="1">+M145*M157</f>
        <v>85.641471842972265</v>
      </c>
      <c r="N116" s="140">
        <f ca="1">+N145*N157</f>
        <v>92.492789590410041</v>
      </c>
      <c r="O116" s="140">
        <f ca="1">+O145*O157</f>
        <v>100.12344473161887</v>
      </c>
      <c r="P116" s="143"/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7">SUM(H114:H116)</f>
        <v>175.29699116643044</v>
      </c>
      <c r="I117" s="147">
        <f t="shared" si="27"/>
        <v>186.21789694050051</v>
      </c>
      <c r="J117" s="148">
        <f t="shared" si="27"/>
        <v>198.7466131689653</v>
      </c>
      <c r="K117" s="149">
        <f t="shared" ca="1" si="27"/>
        <v>212.61248216593572</v>
      </c>
      <c r="L117" s="147">
        <f t="shared" ca="1" si="27"/>
        <v>227.97441333626784</v>
      </c>
      <c r="M117" s="147">
        <f t="shared" ca="1" si="27"/>
        <v>245.01316499082679</v>
      </c>
      <c r="N117" s="147">
        <f t="shared" ca="1" si="27"/>
        <v>263.93461158077093</v>
      </c>
      <c r="O117" s="147">
        <f t="shared" ca="1" si="27"/>
        <v>284.97354288159352</v>
      </c>
      <c r="P117" s="143"/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P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 ca="1">+K145*K158</f>
        <v>14.787282679410305</v>
      </c>
      <c r="L119" s="137">
        <f ca="1">+L145*L158</f>
        <v>15.896328880366079</v>
      </c>
      <c r="M119" s="137">
        <f ca="1">+M145*M158</f>
        <v>17.128294368594453</v>
      </c>
      <c r="N119" s="137">
        <f ca="1">+N145*N158</f>
        <v>18.49855791808201</v>
      </c>
      <c r="O119" s="137">
        <f ca="1">+O145*O158</f>
        <v>20.024688946323774</v>
      </c>
      <c r="P119" s="143"/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P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+K231</f>
        <v>0</v>
      </c>
      <c r="L121" s="152">
        <f ca="1">+L231</f>
        <v>0</v>
      </c>
      <c r="M121" s="152">
        <f ca="1">+M231</f>
        <v>0</v>
      </c>
      <c r="N121" s="152">
        <f ca="1">+N231</f>
        <v>0</v>
      </c>
      <c r="O121" s="152">
        <f ca="1">+O231</f>
        <v>0</v>
      </c>
      <c r="P121" s="143"/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+K242</f>
        <v>50</v>
      </c>
      <c r="L122" s="153">
        <f>+L242</f>
        <v>50</v>
      </c>
      <c r="M122" s="153">
        <f>+M242</f>
        <v>50</v>
      </c>
      <c r="N122" s="153">
        <f>+N242</f>
        <v>50</v>
      </c>
      <c r="O122" s="153">
        <f>+O242</f>
        <v>50</v>
      </c>
      <c r="P122" s="143"/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8">SUM(H121:H122)</f>
        <v>50</v>
      </c>
      <c r="I123" s="154">
        <f t="shared" si="28"/>
        <v>50</v>
      </c>
      <c r="J123" s="123">
        <f t="shared" si="28"/>
        <v>50</v>
      </c>
      <c r="K123" s="154">
        <f t="shared" ca="1" si="28"/>
        <v>50</v>
      </c>
      <c r="L123" s="154">
        <f t="shared" ca="1" si="28"/>
        <v>50</v>
      </c>
      <c r="M123" s="154">
        <f t="shared" ca="1" si="28"/>
        <v>50</v>
      </c>
      <c r="N123" s="154">
        <f t="shared" ca="1" si="28"/>
        <v>50</v>
      </c>
      <c r="O123" s="154">
        <f t="shared" ca="1" si="28"/>
        <v>50</v>
      </c>
      <c r="P123" s="175"/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P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+J125+K135</f>
        <v>155.84305619168975</v>
      </c>
      <c r="L125" s="136">
        <f t="shared" ref="L125:O125" si="29">+K125+L135</f>
        <v>155.84305619168975</v>
      </c>
      <c r="M125" s="136">
        <f t="shared" si="29"/>
        <v>155.84305619168975</v>
      </c>
      <c r="N125" s="136">
        <f t="shared" si="29"/>
        <v>155.84305619168975</v>
      </c>
      <c r="O125" s="136">
        <f t="shared" si="29"/>
        <v>155.84305619168975</v>
      </c>
      <c r="P125" s="143"/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+J126+K138</f>
        <v>-20</v>
      </c>
      <c r="L126" s="136">
        <f t="shared" ref="L126:O126" si="30">+K126+L138</f>
        <v>-15</v>
      </c>
      <c r="M126" s="136">
        <f t="shared" si="30"/>
        <v>-10</v>
      </c>
      <c r="N126" s="136">
        <f t="shared" si="30"/>
        <v>-5</v>
      </c>
      <c r="O126" s="136">
        <f t="shared" si="30"/>
        <v>0</v>
      </c>
      <c r="P126" s="143"/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+J127+K73+K139</f>
        <v>894.95069413041438</v>
      </c>
      <c r="L127" s="136">
        <f t="shared" ref="L127:O127" ca="1" si="31">+K127+L73+L139</f>
        <v>1116.2019687542986</v>
      </c>
      <c r="M127" s="136">
        <f t="shared" ca="1" si="31"/>
        <v>1360.4002408540841</v>
      </c>
      <c r="N127" s="136">
        <f t="shared" ca="1" si="31"/>
        <v>1630.3329830339314</v>
      </c>
      <c r="O127" s="136">
        <f t="shared" ca="1" si="31"/>
        <v>1929.1734058041955</v>
      </c>
      <c r="P127" s="143"/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32">+SUM(H117,H119,H123,H125:H127)</f>
        <v>737.15420182016749</v>
      </c>
      <c r="I128" s="155">
        <f t="shared" si="32"/>
        <v>903.73053547447182</v>
      </c>
      <c r="J128" s="156">
        <f t="shared" si="32"/>
        <v>1087.5713585035739</v>
      </c>
      <c r="K128" s="155">
        <f t="shared" ca="1" si="32"/>
        <v>1308.1935151674502</v>
      </c>
      <c r="L128" s="155">
        <f t="shared" ca="1" si="32"/>
        <v>1550.9157671626222</v>
      </c>
      <c r="M128" s="155">
        <f t="shared" ca="1" si="32"/>
        <v>1818.384756405195</v>
      </c>
      <c r="N128" s="155">
        <f t="shared" ca="1" si="32"/>
        <v>2113.6092087244742</v>
      </c>
      <c r="O128" s="155">
        <f t="shared" ca="1" si="32"/>
        <v>2440.0146938238026</v>
      </c>
      <c r="P128" s="235"/>
      <c r="Q128" s="119"/>
      <c r="R128" s="119"/>
      <c r="S128" s="119"/>
      <c r="T128" s="119"/>
      <c r="U128" s="119"/>
      <c r="V128" s="119"/>
      <c r="W128" s="119"/>
      <c r="X128" s="119"/>
    </row>
    <row r="129" spans="2:16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  <c r="P129" s="143"/>
    </row>
    <row r="130" spans="2:16" ht="12.95" customHeight="1" x14ac:dyDescent="0.2">
      <c r="B130" s="21" t="s">
        <v>44</v>
      </c>
      <c r="H130" s="143"/>
      <c r="I130" s="143"/>
      <c r="J130" s="124"/>
      <c r="K130" s="136"/>
      <c r="L130" s="137"/>
      <c r="M130" s="137"/>
      <c r="N130" s="137"/>
      <c r="O130" s="137"/>
      <c r="P130" s="143"/>
    </row>
    <row r="131" spans="2:16" ht="12.95" customHeight="1" x14ac:dyDescent="0.2">
      <c r="B131" s="417" t="s">
        <v>372</v>
      </c>
      <c r="C131" s="410"/>
      <c r="D131" s="410"/>
      <c r="E131" s="410"/>
      <c r="F131" s="410"/>
      <c r="G131" s="410"/>
      <c r="H131" s="411">
        <v>14.519074537800002</v>
      </c>
      <c r="I131" s="411">
        <v>16.751382247986751</v>
      </c>
      <c r="J131" s="412">
        <v>19.302746621141658</v>
      </c>
      <c r="K131" s="413">
        <f ca="1">+K132*K145</f>
        <v>21.441559885144944</v>
      </c>
      <c r="L131" s="413">
        <f t="shared" ref="L131:O131" ca="1" si="33">+L132*L145</f>
        <v>23.84449332054912</v>
      </c>
      <c r="M131" s="413">
        <f t="shared" ca="1" si="33"/>
        <v>26.548856271321402</v>
      </c>
      <c r="N131" s="413">
        <f t="shared" ca="1" si="33"/>
        <v>29.597692668931213</v>
      </c>
      <c r="O131" s="422">
        <f t="shared" ca="1" si="33"/>
        <v>33.040736761434232</v>
      </c>
    </row>
    <row r="132" spans="2:16" ht="12.95" customHeight="1" x14ac:dyDescent="0.2">
      <c r="B132" s="418" t="s">
        <v>17</v>
      </c>
      <c r="C132" s="401"/>
      <c r="D132" s="401"/>
      <c r="E132" s="401"/>
      <c r="F132" s="401"/>
      <c r="G132" s="401"/>
      <c r="H132" s="405">
        <f>+H131/H145</f>
        <v>1.2E-2</v>
      </c>
      <c r="I132" s="405">
        <f>+I131/I145</f>
        <v>1.3000000000000001E-2</v>
      </c>
      <c r="J132" s="406">
        <f>+J131/J145</f>
        <v>1.4E-2</v>
      </c>
      <c r="K132" s="407">
        <v>1.4500000000000001E-2</v>
      </c>
      <c r="L132" s="408">
        <v>1.5000000000000001E-2</v>
      </c>
      <c r="M132" s="408">
        <v>1.5500000000000002E-2</v>
      </c>
      <c r="N132" s="408">
        <v>1.6E-2</v>
      </c>
      <c r="O132" s="423">
        <v>1.6500000000000001E-2</v>
      </c>
    </row>
    <row r="133" spans="2:16" ht="12.95" customHeight="1" x14ac:dyDescent="0.2">
      <c r="B133" s="419" t="s">
        <v>373</v>
      </c>
      <c r="C133" s="401"/>
      <c r="D133" s="401"/>
      <c r="E133" s="401"/>
      <c r="F133" s="401"/>
      <c r="G133" s="401"/>
      <c r="H133" s="402">
        <v>13.30915165965</v>
      </c>
      <c r="I133" s="402">
        <v>13.30915165965</v>
      </c>
      <c r="J133" s="403">
        <v>13.30915165965</v>
      </c>
      <c r="K133" s="404">
        <f ca="1">+K134*K145</f>
        <v>19.962831617203911</v>
      </c>
      <c r="L133" s="404">
        <f t="shared" ref="L133:O133" ca="1" si="34">+L134*L145</f>
        <v>22.254860432512512</v>
      </c>
      <c r="M133" s="404">
        <f t="shared" ca="1" si="34"/>
        <v>24.836026834461958</v>
      </c>
      <c r="N133" s="404">
        <f t="shared" ca="1" si="34"/>
        <v>27.747836877123014</v>
      </c>
      <c r="O133" s="424">
        <f t="shared" ca="1" si="34"/>
        <v>31.038267866801853</v>
      </c>
    </row>
    <row r="134" spans="2:16" ht="12.95" customHeight="1" x14ac:dyDescent="0.2">
      <c r="B134" s="418" t="s">
        <v>17</v>
      </c>
      <c r="C134" s="401"/>
      <c r="D134" s="401"/>
      <c r="E134" s="401"/>
      <c r="F134" s="401"/>
      <c r="G134" s="401"/>
      <c r="H134" s="405">
        <f>+H133/H145</f>
        <v>1.0999999999999999E-2</v>
      </c>
      <c r="I134" s="405">
        <f>+I133/I145</f>
        <v>1.0328638497652583E-2</v>
      </c>
      <c r="J134" s="406">
        <f>+J133/J145</f>
        <v>9.6529331753762437E-3</v>
      </c>
      <c r="K134" s="407">
        <v>1.35E-2</v>
      </c>
      <c r="L134" s="408">
        <v>1.4E-2</v>
      </c>
      <c r="M134" s="408">
        <v>1.4500000000000001E-2</v>
      </c>
      <c r="N134" s="408">
        <v>1.5000000000000001E-2</v>
      </c>
      <c r="O134" s="423">
        <v>1.5500000000000002E-2</v>
      </c>
    </row>
    <row r="135" spans="2:16" ht="12.95" customHeight="1" x14ac:dyDescent="0.2">
      <c r="B135" s="419" t="s">
        <v>376</v>
      </c>
      <c r="C135" s="401"/>
      <c r="D135" s="401"/>
      <c r="E135" s="401"/>
      <c r="F135" s="401"/>
      <c r="G135" s="401"/>
      <c r="H135" s="402">
        <v>0</v>
      </c>
      <c r="I135" s="402">
        <v>0</v>
      </c>
      <c r="J135" s="403">
        <v>0</v>
      </c>
      <c r="K135" s="409">
        <v>0</v>
      </c>
      <c r="L135" s="409">
        <v>0</v>
      </c>
      <c r="M135" s="409">
        <v>0</v>
      </c>
      <c r="N135" s="409">
        <v>0</v>
      </c>
      <c r="O135" s="403">
        <v>0</v>
      </c>
    </row>
    <row r="136" spans="2:16" ht="12.95" customHeight="1" x14ac:dyDescent="0.2">
      <c r="B136" s="419" t="s">
        <v>377</v>
      </c>
      <c r="C136" s="401"/>
      <c r="D136" s="401"/>
      <c r="E136" s="401"/>
      <c r="F136" s="401"/>
      <c r="G136" s="401"/>
      <c r="H136" s="402">
        <v>9.0919467450000013</v>
      </c>
      <c r="I136" s="402">
        <v>9.6829232834249996</v>
      </c>
      <c r="J136" s="403">
        <v>10.360727913264752</v>
      </c>
      <c r="K136" s="404">
        <f ca="1">+K137*K145</f>
        <v>11.111880686976447</v>
      </c>
      <c r="L136" s="404">
        <f t="shared" ref="L136:O136" ca="1" si="35">+L137*L145</f>
        <v>11.945271738499681</v>
      </c>
      <c r="M136" s="404">
        <f t="shared" ca="1" si="35"/>
        <v>12.871030298233407</v>
      </c>
      <c r="N136" s="404">
        <f t="shared" ca="1" si="35"/>
        <v>13.900712722092081</v>
      </c>
      <c r="O136" s="424">
        <f t="shared" ca="1" si="35"/>
        <v>15.047521521664677</v>
      </c>
    </row>
    <row r="137" spans="2:16" ht="12.95" customHeight="1" x14ac:dyDescent="0.2">
      <c r="B137" s="418" t="s">
        <v>17</v>
      </c>
      <c r="C137" s="401"/>
      <c r="D137" s="401"/>
      <c r="E137" s="401"/>
      <c r="F137" s="401"/>
      <c r="G137" s="401"/>
      <c r="H137" s="405">
        <f>+H136/H145</f>
        <v>7.5144845255771982E-3</v>
      </c>
      <c r="I137" s="405">
        <f>+I136/I145</f>
        <v>7.5144845255771973E-3</v>
      </c>
      <c r="J137" s="406">
        <f>+J136/J145</f>
        <v>7.5144845255771982E-3</v>
      </c>
      <c r="K137" s="407">
        <v>7.5144845255771982E-3</v>
      </c>
      <c r="L137" s="408">
        <v>7.5144845255771982E-3</v>
      </c>
      <c r="M137" s="408">
        <v>7.5144845255771982E-3</v>
      </c>
      <c r="N137" s="408">
        <v>7.5144845255771982E-3</v>
      </c>
      <c r="O137" s="423">
        <v>7.5144845255771982E-3</v>
      </c>
    </row>
    <row r="138" spans="2:16" ht="12.95" customHeight="1" x14ac:dyDescent="0.2">
      <c r="B138" s="420" t="s">
        <v>113</v>
      </c>
      <c r="C138" s="401"/>
      <c r="D138" s="401"/>
      <c r="E138" s="401"/>
      <c r="F138" s="401"/>
      <c r="G138" s="401"/>
      <c r="H138" s="402">
        <v>5</v>
      </c>
      <c r="I138" s="402">
        <v>5</v>
      </c>
      <c r="J138" s="403">
        <v>5</v>
      </c>
      <c r="K138" s="409">
        <v>5</v>
      </c>
      <c r="L138" s="409">
        <v>5</v>
      </c>
      <c r="M138" s="409">
        <v>5</v>
      </c>
      <c r="N138" s="409">
        <v>5</v>
      </c>
      <c r="O138" s="403">
        <v>5</v>
      </c>
    </row>
    <row r="139" spans="2:16" ht="12.95" customHeight="1" x14ac:dyDescent="0.2">
      <c r="B139" s="419" t="s">
        <v>374</v>
      </c>
      <c r="C139" s="401"/>
      <c r="D139" s="401"/>
      <c r="E139" s="401"/>
      <c r="F139" s="401"/>
      <c r="G139" s="401"/>
      <c r="H139" s="402">
        <v>7.2191681345372034</v>
      </c>
      <c r="I139" s="402">
        <v>7.9045291961058837</v>
      </c>
      <c r="J139" s="403">
        <v>8.6868095464058861</v>
      </c>
      <c r="K139" s="404">
        <f ca="1">+K140*K73</f>
        <v>9.5598419593073203</v>
      </c>
      <c r="L139" s="404">
        <f ca="1">+L140*L73</f>
        <v>10.535774982089725</v>
      </c>
      <c r="M139" s="404">
        <f ca="1">+M140*M73</f>
        <v>11.628489147608832</v>
      </c>
      <c r="N139" s="404">
        <f ca="1">+N140*N73</f>
        <v>12.853940103802252</v>
      </c>
      <c r="O139" s="424">
        <f ca="1">+O140*O73</f>
        <v>14.230496322393527</v>
      </c>
    </row>
    <row r="140" spans="2:16" ht="12.95" customHeight="1" x14ac:dyDescent="0.2">
      <c r="B140" s="421" t="s">
        <v>375</v>
      </c>
      <c r="C140" s="414"/>
      <c r="D140" s="414"/>
      <c r="E140" s="414"/>
      <c r="F140" s="414"/>
      <c r="G140" s="414"/>
      <c r="H140" s="415">
        <f>H139/H73</f>
        <v>0.05</v>
      </c>
      <c r="I140" s="415">
        <f>I139/I73</f>
        <v>0.05</v>
      </c>
      <c r="J140" s="416">
        <f>J139/J73</f>
        <v>0.05</v>
      </c>
      <c r="K140" s="415">
        <f>+J140</f>
        <v>0.05</v>
      </c>
      <c r="L140" s="415">
        <f t="shared" ref="L140:O140" si="36">+K140</f>
        <v>0.05</v>
      </c>
      <c r="M140" s="415">
        <f t="shared" si="36"/>
        <v>0.05</v>
      </c>
      <c r="N140" s="415">
        <f t="shared" si="36"/>
        <v>0.05</v>
      </c>
      <c r="O140" s="416">
        <f t="shared" si="36"/>
        <v>0.05</v>
      </c>
    </row>
    <row r="141" spans="2:16" ht="12.95" customHeight="1" x14ac:dyDescent="0.2">
      <c r="H141" s="143"/>
      <c r="I141" s="143"/>
      <c r="J141" s="124"/>
      <c r="K141" s="136"/>
      <c r="L141" s="137"/>
      <c r="M141" s="137"/>
      <c r="N141" s="137"/>
      <c r="O141" s="137"/>
    </row>
    <row r="142" spans="2:16" ht="12.95" hidden="1" customHeight="1" outlineLevel="1" x14ac:dyDescent="0.2">
      <c r="B142" s="1" t="s">
        <v>65</v>
      </c>
      <c r="H142" s="137">
        <f t="shared" ref="H142:O142" si="37">+IF(ABS(H112-H128)&gt;0.001,H112-H128,0)</f>
        <v>0</v>
      </c>
      <c r="I142" s="137">
        <f t="shared" si="37"/>
        <v>0</v>
      </c>
      <c r="J142" s="157">
        <f t="shared" si="37"/>
        <v>0</v>
      </c>
      <c r="K142" s="136">
        <f t="shared" ca="1" si="37"/>
        <v>-60.890923001928059</v>
      </c>
      <c r="L142" s="137">
        <f t="shared" ca="1" si="37"/>
        <v>-127.70618786870591</v>
      </c>
      <c r="M142" s="137">
        <f t="shared" ca="1" si="37"/>
        <v>-201.18984840833286</v>
      </c>
      <c r="N142" s="137">
        <f t="shared" ca="1" si="37"/>
        <v>-282.19240123170812</v>
      </c>
      <c r="O142" s="137">
        <f t="shared" ca="1" si="37"/>
        <v>-371.68734587769859</v>
      </c>
    </row>
    <row r="143" spans="2:16" ht="12.95" hidden="1" customHeight="1" outlineLevel="1" x14ac:dyDescent="0.2">
      <c r="H143" s="143"/>
      <c r="I143" s="143"/>
      <c r="J143" s="124"/>
      <c r="K143" s="144"/>
      <c r="L143" s="143"/>
      <c r="M143" s="143"/>
      <c r="N143" s="143"/>
      <c r="O143" s="143"/>
    </row>
    <row r="144" spans="2:16" ht="12.95" hidden="1" customHeight="1" outlineLevel="1" x14ac:dyDescent="0.2">
      <c r="B144" s="28" t="s">
        <v>66</v>
      </c>
      <c r="C144" s="20"/>
      <c r="D144" s="20"/>
      <c r="E144" s="20"/>
      <c r="F144" s="20"/>
      <c r="G144" s="20"/>
      <c r="H144" s="158"/>
      <c r="I144" s="158"/>
      <c r="J144" s="159"/>
      <c r="K144" s="158"/>
      <c r="L144" s="158"/>
      <c r="M144" s="158"/>
      <c r="N144" s="158"/>
      <c r="O144" s="158"/>
    </row>
    <row r="145" spans="2:15" ht="12.95" hidden="1" customHeight="1" outlineLevel="1" x14ac:dyDescent="0.2">
      <c r="B145" s="1" t="str">
        <f>+B64</f>
        <v>Revenue</v>
      </c>
      <c r="H145" s="137">
        <f t="shared" ref="H145:O145" si="38">+H64</f>
        <v>1209.9228781500001</v>
      </c>
      <c r="I145" s="137">
        <f t="shared" si="38"/>
        <v>1288.5678652297499</v>
      </c>
      <c r="J145" s="157">
        <f t="shared" si="38"/>
        <v>1378.7676157958326</v>
      </c>
      <c r="K145" s="136">
        <f t="shared" ca="1" si="38"/>
        <v>1478.7282679410305</v>
      </c>
      <c r="L145" s="137">
        <f t="shared" ca="1" si="38"/>
        <v>1589.6328880366079</v>
      </c>
      <c r="M145" s="137">
        <f t="shared" ca="1" si="38"/>
        <v>1712.8294368594452</v>
      </c>
      <c r="N145" s="137">
        <f t="shared" ca="1" si="38"/>
        <v>1849.8557918082008</v>
      </c>
      <c r="O145" s="137">
        <f t="shared" ca="1" si="38"/>
        <v>2002.4688946323774</v>
      </c>
    </row>
    <row r="146" spans="2:15" ht="12.95" hidden="1" customHeight="1" outlineLevel="1" x14ac:dyDescent="0.2">
      <c r="B146" s="1" t="str">
        <f>+B65</f>
        <v>Cost of Goods Sold (Cost of Sales)</v>
      </c>
      <c r="H146" s="137">
        <f t="shared" ref="H146:O146" si="39">-H65</f>
        <v>679.97665752030014</v>
      </c>
      <c r="I146" s="137">
        <f t="shared" si="39"/>
        <v>721.59800452866</v>
      </c>
      <c r="J146" s="157">
        <f t="shared" si="39"/>
        <v>769.35232961407462</v>
      </c>
      <c r="K146" s="136">
        <f t="shared" ca="1" si="39"/>
        <v>822.17291697521307</v>
      </c>
      <c r="L146" s="137">
        <f t="shared" ca="1" si="39"/>
        <v>880.65661997228085</v>
      </c>
      <c r="M146" s="137">
        <f t="shared" ca="1" si="39"/>
        <v>945.48184914641388</v>
      </c>
      <c r="N146" s="137">
        <f t="shared" ca="1" si="39"/>
        <v>1017.4206854945105</v>
      </c>
      <c r="O146" s="137">
        <f t="shared" ca="1" si="39"/>
        <v>1097.3529542585429</v>
      </c>
    </row>
    <row r="147" spans="2:15" ht="12.95" hidden="1" customHeight="1" outlineLevel="1" x14ac:dyDescent="0.2">
      <c r="B147" s="20" t="str">
        <f>+B67</f>
        <v>SG&amp;A</v>
      </c>
      <c r="C147" s="20"/>
      <c r="D147" s="20"/>
      <c r="E147" s="20"/>
      <c r="F147" s="20"/>
      <c r="G147" s="20"/>
      <c r="H147" s="140">
        <f t="shared" ref="H147:O147" si="40">-H67</f>
        <v>335.75359868662508</v>
      </c>
      <c r="I147" s="140">
        <f t="shared" si="40"/>
        <v>355.64473080341099</v>
      </c>
      <c r="J147" s="122">
        <f t="shared" si="40"/>
        <v>378.47171053595611</v>
      </c>
      <c r="K147" s="140">
        <f t="shared" ca="1" si="40"/>
        <v>403.69281714790134</v>
      </c>
      <c r="L147" s="140">
        <f t="shared" ca="1" si="40"/>
        <v>431.58532910193907</v>
      </c>
      <c r="M147" s="140">
        <f t="shared" ca="1" si="40"/>
        <v>462.46394795205021</v>
      </c>
      <c r="N147" s="140">
        <f t="shared" ca="1" si="40"/>
        <v>496.68628010050196</v>
      </c>
      <c r="O147" s="140">
        <f t="shared" ca="1" si="40"/>
        <v>534.65919486684481</v>
      </c>
    </row>
    <row r="148" spans="2:15" ht="12.95" hidden="1" customHeight="1" outlineLevel="1" x14ac:dyDescent="0.2">
      <c r="J148" s="161"/>
      <c r="K148" s="93"/>
    </row>
    <row r="149" spans="2:15" s="21" customFormat="1" ht="12.95" customHeight="1" collapsed="1" x14ac:dyDescent="0.2">
      <c r="B149" s="28" t="s">
        <v>67</v>
      </c>
      <c r="C149" s="28"/>
      <c r="D149" s="28"/>
      <c r="E149" s="28"/>
      <c r="F149" s="28"/>
      <c r="G149" s="28"/>
      <c r="H149" s="28"/>
      <c r="I149" s="28"/>
      <c r="J149" s="162"/>
      <c r="K149" s="28"/>
      <c r="L149" s="28"/>
      <c r="M149" s="28"/>
      <c r="N149" s="28"/>
      <c r="O149" s="28"/>
    </row>
    <row r="150" spans="2:15" ht="12.95" customHeight="1" x14ac:dyDescent="0.2">
      <c r="B150" s="1" t="s">
        <v>68</v>
      </c>
      <c r="H150" s="72">
        <f>+(H104/H145)*365</f>
        <v>30</v>
      </c>
      <c r="I150" s="72">
        <f>+(I104/I145)*365</f>
        <v>30</v>
      </c>
      <c r="J150" s="163">
        <f>+(J104/J145)*365</f>
        <v>30</v>
      </c>
      <c r="K150" s="73">
        <v>30</v>
      </c>
      <c r="L150" s="74">
        <v>30</v>
      </c>
      <c r="M150" s="74">
        <v>30</v>
      </c>
      <c r="N150" s="74">
        <v>30</v>
      </c>
      <c r="O150" s="74">
        <v>30</v>
      </c>
    </row>
    <row r="151" spans="2:15" ht="12.95" customHeight="1" x14ac:dyDescent="0.2">
      <c r="B151" s="1" t="s">
        <v>69</v>
      </c>
      <c r="H151" s="75">
        <f>+H146/H105</f>
        <v>5</v>
      </c>
      <c r="I151" s="75">
        <f>+I146/I105</f>
        <v>5</v>
      </c>
      <c r="J151" s="164">
        <f>+J146/J105</f>
        <v>5</v>
      </c>
      <c r="K151" s="112">
        <v>5</v>
      </c>
      <c r="L151" s="19">
        <v>5</v>
      </c>
      <c r="M151" s="19">
        <v>5</v>
      </c>
      <c r="N151" s="19">
        <v>5</v>
      </c>
      <c r="O151" s="19">
        <v>5</v>
      </c>
    </row>
    <row r="152" spans="2:15" ht="12.95" customHeight="1" x14ac:dyDescent="0.2">
      <c r="B152" s="1" t="s">
        <v>70</v>
      </c>
      <c r="H152" s="61">
        <f>+H106/H145</f>
        <v>2.5999999999999995E-2</v>
      </c>
      <c r="I152" s="61">
        <f>+I106/I145</f>
        <v>2.5999999999999995E-2</v>
      </c>
      <c r="J152" s="62">
        <f>+J106/J145</f>
        <v>2.5999999999999995E-2</v>
      </c>
      <c r="K152" s="113">
        <v>2.5999999999999995E-2</v>
      </c>
      <c r="L152" s="22">
        <v>2.5999999999999995E-2</v>
      </c>
      <c r="M152" s="22">
        <v>2.5999999999999995E-2</v>
      </c>
      <c r="N152" s="22">
        <v>2.5999999999999995E-2</v>
      </c>
      <c r="O152" s="22">
        <v>2.5999999999999995E-2</v>
      </c>
    </row>
    <row r="153" spans="2:15" ht="12.95" customHeight="1" x14ac:dyDescent="0.2">
      <c r="B153" s="1" t="s">
        <v>164</v>
      </c>
      <c r="H153" s="129">
        <f>+H111/H145</f>
        <v>0.04</v>
      </c>
      <c r="I153" s="129">
        <f>+I111/I145</f>
        <v>0.04</v>
      </c>
      <c r="J153" s="165">
        <f>+J111/J145</f>
        <v>0.04</v>
      </c>
      <c r="K153" s="113">
        <v>0.04</v>
      </c>
      <c r="L153" s="22">
        <v>0.04</v>
      </c>
      <c r="M153" s="22">
        <v>0.04</v>
      </c>
      <c r="N153" s="22">
        <v>0.04</v>
      </c>
      <c r="O153" s="22">
        <v>0.04</v>
      </c>
    </row>
    <row r="154" spans="2:15" ht="3" customHeight="1" x14ac:dyDescent="0.2">
      <c r="H154" s="29"/>
      <c r="I154" s="29"/>
      <c r="J154" s="59"/>
      <c r="K154" s="93"/>
    </row>
    <row r="155" spans="2:15" ht="12.95" customHeight="1" x14ac:dyDescent="0.2">
      <c r="B155" s="1" t="s">
        <v>71</v>
      </c>
      <c r="H155" s="72">
        <f>+(H114/H146)*365</f>
        <v>30</v>
      </c>
      <c r="I155" s="72">
        <f>+(I114/I146)*365</f>
        <v>30</v>
      </c>
      <c r="J155" s="166">
        <f>+(J114/J146)*365</f>
        <v>30</v>
      </c>
      <c r="K155" s="114">
        <v>30</v>
      </c>
      <c r="L155" s="74">
        <v>30</v>
      </c>
      <c r="M155" s="74">
        <v>30</v>
      </c>
      <c r="N155" s="74">
        <v>30</v>
      </c>
      <c r="O155" s="74">
        <v>30</v>
      </c>
    </row>
    <row r="156" spans="2:15" ht="12.95" customHeight="1" x14ac:dyDescent="0.2">
      <c r="B156" s="1" t="s">
        <v>72</v>
      </c>
      <c r="H156" s="61">
        <f>+H115/SUM(H146:H147)</f>
        <v>5.800000000000001E-2</v>
      </c>
      <c r="I156" s="61">
        <f>+I115/SUM(I146:I147)</f>
        <v>5.800000000000001E-2</v>
      </c>
      <c r="J156" s="62">
        <f>+J115/SUM(J146:J147)</f>
        <v>5.8000000000000017E-2</v>
      </c>
      <c r="K156" s="113">
        <v>5.800000000000001E-2</v>
      </c>
      <c r="L156" s="22">
        <v>5.800000000000001E-2</v>
      </c>
      <c r="M156" s="22">
        <v>5.800000000000001E-2</v>
      </c>
      <c r="N156" s="22">
        <v>5.800000000000001E-2</v>
      </c>
      <c r="O156" s="22">
        <v>5.800000000000001E-2</v>
      </c>
    </row>
    <row r="157" spans="2:15" ht="12.95" customHeight="1" x14ac:dyDescent="0.2">
      <c r="B157" s="1" t="s">
        <v>73</v>
      </c>
      <c r="H157" s="61">
        <f>+H116/H145</f>
        <v>0.05</v>
      </c>
      <c r="I157" s="61">
        <f>+I116/I145</f>
        <v>0.05</v>
      </c>
      <c r="J157" s="62">
        <f>+J116/J145</f>
        <v>0.05</v>
      </c>
      <c r="K157" s="113">
        <v>0.05</v>
      </c>
      <c r="L157" s="22">
        <v>0.05</v>
      </c>
      <c r="M157" s="22">
        <v>0.05</v>
      </c>
      <c r="N157" s="22">
        <v>0.05</v>
      </c>
      <c r="O157" s="22">
        <v>0.05</v>
      </c>
    </row>
    <row r="158" spans="2:15" ht="12.95" customHeight="1" x14ac:dyDescent="0.2">
      <c r="B158" s="1" t="s">
        <v>163</v>
      </c>
      <c r="H158" s="61">
        <f>+H119/H145</f>
        <v>0.01</v>
      </c>
      <c r="I158" s="61">
        <f>+I119/I145</f>
        <v>0.01</v>
      </c>
      <c r="J158" s="62">
        <f>+J119/J145</f>
        <v>0.01</v>
      </c>
      <c r="K158" s="113">
        <v>0.01</v>
      </c>
      <c r="L158" s="22">
        <v>0.01</v>
      </c>
      <c r="M158" s="22">
        <v>0.01</v>
      </c>
      <c r="N158" s="22">
        <v>0.01</v>
      </c>
      <c r="O158" s="22">
        <v>0.01</v>
      </c>
    </row>
    <row r="159" spans="2:15" ht="3" customHeight="1" x14ac:dyDescent="0.2">
      <c r="J159" s="35"/>
      <c r="K159" s="93"/>
    </row>
    <row r="160" spans="2:15" ht="12.95" customHeight="1" x14ac:dyDescent="0.2">
      <c r="B160" s="1" t="s">
        <v>74</v>
      </c>
      <c r="H160" s="17">
        <f t="shared" ref="H160:O160" si="41">+(H107-H103)-H117</f>
        <v>91.6020511818584</v>
      </c>
      <c r="I160" s="17">
        <f t="shared" si="41"/>
        <v>97.514156014335072</v>
      </c>
      <c r="J160" s="40">
        <f t="shared" si="41"/>
        <v>104.29517644639051</v>
      </c>
      <c r="K160" s="115">
        <f t="shared" ca="1" si="41"/>
        <v>111.80834588935704</v>
      </c>
      <c r="L160" s="17">
        <f t="shared" ca="1" si="41"/>
        <v>120.14212366795709</v>
      </c>
      <c r="M160" s="17">
        <f t="shared" ca="1" si="41"/>
        <v>129.39727185648201</v>
      </c>
      <c r="N160" s="17">
        <f t="shared" ca="1" si="41"/>
        <v>139.68871789759919</v>
      </c>
      <c r="O160" s="17">
        <f t="shared" ca="1" si="41"/>
        <v>151.14772372088953</v>
      </c>
    </row>
    <row r="161" spans="1:15" ht="12.95" customHeight="1" x14ac:dyDescent="0.2">
      <c r="B161" s="20" t="s">
        <v>165</v>
      </c>
      <c r="C161" s="20"/>
      <c r="D161" s="20"/>
      <c r="E161" s="20"/>
      <c r="F161" s="20"/>
      <c r="G161" s="20"/>
      <c r="H161" s="76">
        <f t="shared" ref="H161:O161" si="42">+H160/H145</f>
        <v>7.570900000000004E-2</v>
      </c>
      <c r="I161" s="76">
        <f t="shared" si="42"/>
        <v>7.5676383561643787E-2</v>
      </c>
      <c r="J161" s="167">
        <f t="shared" si="42"/>
        <v>7.5643767123287659E-2</v>
      </c>
      <c r="K161" s="76">
        <f t="shared" ca="1" si="42"/>
        <v>7.5611150684931516E-2</v>
      </c>
      <c r="L161" s="76">
        <f t="shared" ca="1" si="42"/>
        <v>7.5578534246575249E-2</v>
      </c>
      <c r="M161" s="76">
        <f t="shared" ca="1" si="42"/>
        <v>7.554591780821919E-2</v>
      </c>
      <c r="N161" s="76">
        <f t="shared" ca="1" si="42"/>
        <v>7.5513301369862992E-2</v>
      </c>
      <c r="O161" s="76">
        <f t="shared" ca="1" si="42"/>
        <v>7.5480684931506975E-2</v>
      </c>
    </row>
    <row r="162" spans="1:15" ht="12.95" customHeight="1" x14ac:dyDescent="0.2">
      <c r="B162" s="20"/>
      <c r="C162" s="20"/>
      <c r="D162" s="20"/>
      <c r="E162" s="20"/>
      <c r="F162" s="20"/>
      <c r="G162" s="20"/>
      <c r="H162" s="20"/>
      <c r="I162" s="20"/>
      <c r="K162" s="20"/>
      <c r="L162" s="20"/>
      <c r="M162" s="20"/>
      <c r="N162" s="20"/>
      <c r="O162" s="20"/>
    </row>
    <row r="163" spans="1:15" ht="12.95" customHeight="1" x14ac:dyDescent="0.2">
      <c r="A163" s="1" t="s">
        <v>0</v>
      </c>
      <c r="B163" s="26" t="s">
        <v>75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30"/>
    </row>
    <row r="165" spans="1:15" ht="12.95" customHeight="1" x14ac:dyDescent="0.35">
      <c r="I165" s="10"/>
      <c r="J165" s="10"/>
      <c r="K165" s="9" t="str">
        <f>+H101</f>
        <v>Fiscal Year Ended 12/31</v>
      </c>
      <c r="L165" s="10"/>
      <c r="M165" s="10"/>
      <c r="N165" s="10"/>
      <c r="O165" s="10"/>
    </row>
    <row r="166" spans="1:15" ht="12.95" customHeight="1" x14ac:dyDescent="0.2">
      <c r="B166" s="18" t="s">
        <v>76</v>
      </c>
      <c r="K166" s="11">
        <f>+$K$63</f>
        <v>2021</v>
      </c>
      <c r="L166" s="11">
        <f>+$L$63</f>
        <v>2022</v>
      </c>
      <c r="M166" s="11">
        <f>+$M$63</f>
        <v>2023</v>
      </c>
      <c r="N166" s="11">
        <f>+$N$63</f>
        <v>2024</v>
      </c>
      <c r="O166" s="11">
        <f>+$O$63</f>
        <v>2025</v>
      </c>
    </row>
    <row r="167" spans="1:15" ht="12.95" customHeight="1" x14ac:dyDescent="0.2">
      <c r="B167" s="1" t="s">
        <v>39</v>
      </c>
      <c r="H167" s="17"/>
      <c r="I167" s="17"/>
      <c r="J167" s="17"/>
      <c r="K167" s="160">
        <f ca="1">+K73</f>
        <v>191.19683918614641</v>
      </c>
      <c r="L167" s="160">
        <f ca="1">+L73</f>
        <v>210.71549964179448</v>
      </c>
      <c r="M167" s="160">
        <f ca="1">+M73</f>
        <v>232.56978295217664</v>
      </c>
      <c r="N167" s="160">
        <f ca="1">+N73</f>
        <v>257.07880207604501</v>
      </c>
      <c r="O167" s="160">
        <f ca="1">+O73</f>
        <v>284.60992644787052</v>
      </c>
    </row>
    <row r="168" spans="1:15" ht="12.95" customHeight="1" x14ac:dyDescent="0.2">
      <c r="B168" s="1" t="s">
        <v>77</v>
      </c>
      <c r="H168" s="23"/>
      <c r="I168" s="23"/>
      <c r="J168" s="23"/>
      <c r="K168" s="137">
        <f ca="1">+K133</f>
        <v>19.962831617203911</v>
      </c>
      <c r="L168" s="137">
        <f t="shared" ref="L168:O168" ca="1" si="43">+L133</f>
        <v>22.254860432512512</v>
      </c>
      <c r="M168" s="137">
        <f t="shared" ca="1" si="43"/>
        <v>24.836026834461958</v>
      </c>
      <c r="N168" s="137">
        <f t="shared" ca="1" si="43"/>
        <v>27.747836877123014</v>
      </c>
      <c r="O168" s="137">
        <f t="shared" ca="1" si="43"/>
        <v>31.038267866801853</v>
      </c>
    </row>
    <row r="169" spans="1:15" ht="12.95" customHeight="1" x14ac:dyDescent="0.2">
      <c r="B169" s="1" t="s">
        <v>134</v>
      </c>
      <c r="H169" s="23"/>
      <c r="I169" s="23"/>
      <c r="J169" s="23"/>
      <c r="K169" s="137">
        <f ca="1">+K136</f>
        <v>11.111880686976447</v>
      </c>
      <c r="L169" s="137">
        <f t="shared" ref="L169:O169" ca="1" si="44">+L136</f>
        <v>11.945271738499681</v>
      </c>
      <c r="M169" s="137">
        <f t="shared" ca="1" si="44"/>
        <v>12.871030298233407</v>
      </c>
      <c r="N169" s="137">
        <f t="shared" ca="1" si="44"/>
        <v>13.900712722092081</v>
      </c>
      <c r="O169" s="137">
        <f t="shared" ca="1" si="44"/>
        <v>15.047521521664677</v>
      </c>
    </row>
    <row r="170" spans="1:15" ht="12.95" customHeight="1" x14ac:dyDescent="0.2">
      <c r="K170" s="143"/>
      <c r="L170" s="143"/>
      <c r="M170" s="143"/>
      <c r="N170" s="143"/>
      <c r="O170" s="143"/>
    </row>
    <row r="171" spans="1:15" ht="12.95" customHeight="1" x14ac:dyDescent="0.2">
      <c r="B171" s="18" t="s">
        <v>78</v>
      </c>
      <c r="K171" s="143"/>
      <c r="L171" s="143"/>
      <c r="M171" s="143"/>
      <c r="N171" s="143"/>
      <c r="O171" s="143"/>
    </row>
    <row r="172" spans="1:15" ht="12.95" customHeight="1" x14ac:dyDescent="0.2">
      <c r="B172" s="1" t="str">
        <f>+"(Increase) / Decrease in "&amp;B104</f>
        <v>(Increase) / Decrease in Accounts Receivable</v>
      </c>
      <c r="H172" s="23"/>
      <c r="I172" s="23"/>
      <c r="J172" s="23"/>
      <c r="K172" s="137">
        <f t="shared" ref="K172:O174" ca="1" si="45">+(J104-K104)</f>
        <v>-8.2159440119340701</v>
      </c>
      <c r="L172" s="137">
        <f t="shared" ca="1" si="45"/>
        <v>-9.1154482270337525</v>
      </c>
      <c r="M172" s="137">
        <f t="shared" ca="1" si="45"/>
        <v>-10.125743738863349</v>
      </c>
      <c r="N172" s="137">
        <f t="shared" ca="1" si="45"/>
        <v>-11.262440132774429</v>
      </c>
      <c r="O172" s="137">
        <f t="shared" ca="1" si="45"/>
        <v>-12.543542697877541</v>
      </c>
    </row>
    <row r="173" spans="1:15" ht="12.95" customHeight="1" x14ac:dyDescent="0.2">
      <c r="B173" s="1" t="str">
        <f>+"(Increase) / Decrease in "&amp;B105</f>
        <v>(Increase) / Decrease in Inventories</v>
      </c>
      <c r="H173" s="23"/>
      <c r="I173" s="23"/>
      <c r="J173" s="23"/>
      <c r="K173" s="137">
        <f t="shared" ca="1" si="45"/>
        <v>-10.564117472227679</v>
      </c>
      <c r="L173" s="137">
        <f t="shared" ca="1" si="45"/>
        <v>-11.696740599413573</v>
      </c>
      <c r="M173" s="137">
        <f t="shared" ca="1" si="45"/>
        <v>-12.965045834826583</v>
      </c>
      <c r="N173" s="137">
        <f t="shared" ca="1" si="45"/>
        <v>-14.387767269619332</v>
      </c>
      <c r="O173" s="137">
        <f t="shared" ca="1" si="45"/>
        <v>-15.986453752806483</v>
      </c>
    </row>
    <row r="174" spans="1:15" ht="12.95" customHeight="1" x14ac:dyDescent="0.2">
      <c r="B174" s="1" t="str">
        <f>+"(Increase) / Decrease in "&amp;B106</f>
        <v>(Increase) / Decrease in Prepaid Expenses</v>
      </c>
      <c r="H174" s="23"/>
      <c r="I174" s="23"/>
      <c r="J174" s="23"/>
      <c r="K174" s="137">
        <f t="shared" ca="1" si="45"/>
        <v>-2.598976955775143</v>
      </c>
      <c r="L174" s="137">
        <f t="shared" ca="1" si="45"/>
        <v>-2.8835201224850167</v>
      </c>
      <c r="M174" s="137">
        <f t="shared" ca="1" si="45"/>
        <v>-3.2031102693937683</v>
      </c>
      <c r="N174" s="137">
        <f t="shared" ca="1" si="45"/>
        <v>-3.5626852286676467</v>
      </c>
      <c r="O174" s="137">
        <f t="shared" ca="1" si="45"/>
        <v>-3.9679406734285863</v>
      </c>
    </row>
    <row r="175" spans="1:15" ht="12.95" customHeight="1" x14ac:dyDescent="0.2">
      <c r="B175" s="1" t="str">
        <f>+"(Increase) / Decrease in "&amp;B111</f>
        <v>(Increase) / Decrease in Other Long-Term (Operating) Assets</v>
      </c>
      <c r="H175" s="23"/>
      <c r="I175" s="23"/>
      <c r="J175" s="23"/>
      <c r="K175" s="137">
        <f ca="1">+(J111-K111)</f>
        <v>-3.9984260858079139</v>
      </c>
      <c r="L175" s="137">
        <f ca="1">+(K111-L111)</f>
        <v>-4.436184803823096</v>
      </c>
      <c r="M175" s="137">
        <f ca="1">+(L111-M111)</f>
        <v>-4.9278619529134957</v>
      </c>
      <c r="N175" s="137">
        <f ca="1">+(M111-N111)</f>
        <v>-5.481054197950229</v>
      </c>
      <c r="O175" s="137">
        <f ca="1">+(N111-O111)</f>
        <v>-6.1045241129670558</v>
      </c>
    </row>
    <row r="176" spans="1:15" ht="12.95" customHeight="1" x14ac:dyDescent="0.2">
      <c r="B176" s="1" t="str">
        <f>+"Increase / (Decrease) in "&amp;B114</f>
        <v>Increase / (Decrease) in Accounts Payable</v>
      </c>
      <c r="H176" s="23"/>
      <c r="I176" s="23"/>
      <c r="J176" s="23"/>
      <c r="K176" s="137">
        <f t="shared" ref="K176:O178" ca="1" si="46">+K114-J114</f>
        <v>4.3414181392716529</v>
      </c>
      <c r="L176" s="137">
        <f t="shared" ca="1" si="46"/>
        <v>4.8068796983891389</v>
      </c>
      <c r="M176" s="137">
        <f t="shared" ca="1" si="46"/>
        <v>5.3281010280109342</v>
      </c>
      <c r="N176" s="137">
        <f t="shared" ca="1" si="46"/>
        <v>5.9127810697065684</v>
      </c>
      <c r="O176" s="137">
        <f t="shared" ca="1" si="46"/>
        <v>6.5697755148519832</v>
      </c>
    </row>
    <row r="177" spans="2:15" ht="12.95" customHeight="1" x14ac:dyDescent="0.2">
      <c r="B177" s="1" t="str">
        <f>+"Increase / (Decrease) in "&amp;B115</f>
        <v>Increase / (Decrease) in Accrued Liabilities</v>
      </c>
      <c r="H177" s="23"/>
      <c r="I177" s="23"/>
      <c r="J177" s="23"/>
      <c r="K177" s="137">
        <f t="shared" ca="1" si="46"/>
        <v>4.5264182504388515</v>
      </c>
      <c r="L177" s="137">
        <f t="shared" ca="1" si="46"/>
        <v>5.0098204671641327</v>
      </c>
      <c r="M177" s="137">
        <f t="shared" ca="1" si="46"/>
        <v>5.5508231854061449</v>
      </c>
      <c r="N177" s="137">
        <f t="shared" ca="1" si="46"/>
        <v>6.1573477727998238</v>
      </c>
      <c r="O177" s="137">
        <f t="shared" ca="1" si="46"/>
        <v>6.8385006447617513</v>
      </c>
    </row>
    <row r="178" spans="2:15" ht="12.95" customHeight="1" x14ac:dyDescent="0.2">
      <c r="B178" s="1" t="str">
        <f>+"Increase / (Decrease) in "&amp;B116</f>
        <v>Increase / (Decrease) in Deferred Revenue</v>
      </c>
      <c r="H178" s="23"/>
      <c r="I178" s="23"/>
      <c r="J178" s="23"/>
      <c r="K178" s="137">
        <f t="shared" ca="1" si="46"/>
        <v>4.9980326072598871</v>
      </c>
      <c r="L178" s="137">
        <f t="shared" ca="1" si="46"/>
        <v>5.5452310047788842</v>
      </c>
      <c r="M178" s="137">
        <f t="shared" ca="1" si="46"/>
        <v>6.1598274411418572</v>
      </c>
      <c r="N178" s="137">
        <f t="shared" ca="1" si="46"/>
        <v>6.8513177474377756</v>
      </c>
      <c r="O178" s="137">
        <f t="shared" ca="1" si="46"/>
        <v>7.6306551412088339</v>
      </c>
    </row>
    <row r="179" spans="2:15" ht="12.95" customHeight="1" x14ac:dyDescent="0.2">
      <c r="B179" s="20" t="str">
        <f>+"Increase / (Decrease) in "&amp;B119</f>
        <v>Increase / (Decrease) in Other Long-Term (Operating) Liabilities</v>
      </c>
      <c r="C179" s="20"/>
      <c r="D179" s="20"/>
      <c r="E179" s="20"/>
      <c r="F179" s="20"/>
      <c r="G179" s="20"/>
      <c r="H179" s="77"/>
      <c r="I179" s="77"/>
      <c r="J179" s="77"/>
      <c r="K179" s="140">
        <f ca="1">+K119-J119</f>
        <v>0.99960652145197848</v>
      </c>
      <c r="L179" s="140">
        <f ca="1">+L119-K119</f>
        <v>1.109046200955774</v>
      </c>
      <c r="M179" s="140">
        <f ca="1">+M119-L119</f>
        <v>1.2319654882283739</v>
      </c>
      <c r="N179" s="140">
        <f ca="1">+N119-M119</f>
        <v>1.3702635494875572</v>
      </c>
      <c r="O179" s="140">
        <f ca="1">+O119-N119</f>
        <v>1.5261310282417639</v>
      </c>
    </row>
    <row r="180" spans="2:15" ht="12.95" customHeight="1" x14ac:dyDescent="0.2">
      <c r="B180" s="21" t="s">
        <v>79</v>
      </c>
      <c r="C180" s="21"/>
      <c r="D180" s="21"/>
      <c r="E180" s="21"/>
      <c r="F180" s="21"/>
      <c r="G180" s="21"/>
      <c r="H180" s="128"/>
      <c r="I180" s="128"/>
      <c r="J180" s="128"/>
      <c r="K180" s="147">
        <f ca="1">+SUM(K172:K179)</f>
        <v>-10.511989007322436</v>
      </c>
      <c r="L180" s="147">
        <f ca="1">+SUM(L172:L179)</f>
        <v>-11.660916381467509</v>
      </c>
      <c r="M180" s="147">
        <f ca="1">+SUM(M172:M179)</f>
        <v>-12.951044653209886</v>
      </c>
      <c r="N180" s="147">
        <f ca="1">+SUM(N172:N179)</f>
        <v>-14.402236689579912</v>
      </c>
      <c r="O180" s="147">
        <f ca="1">+SUM(O172:O179)</f>
        <v>-16.037398908015334</v>
      </c>
    </row>
    <row r="181" spans="2:15" ht="12.95" customHeight="1" x14ac:dyDescent="0.2">
      <c r="K181" s="143"/>
      <c r="L181" s="143"/>
      <c r="M181" s="143"/>
      <c r="N181" s="143"/>
      <c r="O181" s="143"/>
    </row>
    <row r="182" spans="2:15" s="93" customFormat="1" ht="12.95" customHeight="1" x14ac:dyDescent="0.2">
      <c r="B182" s="16" t="s">
        <v>166</v>
      </c>
      <c r="C182" s="16"/>
      <c r="D182" s="16"/>
      <c r="E182" s="16"/>
      <c r="F182" s="16"/>
      <c r="G182" s="16"/>
      <c r="H182" s="71"/>
      <c r="I182" s="71"/>
      <c r="J182" s="71"/>
      <c r="K182" s="155">
        <f ca="1">+SUM(K167:K169,K180)</f>
        <v>211.75956248300432</v>
      </c>
      <c r="L182" s="155">
        <f ca="1">+SUM(L167:L169,L180)</f>
        <v>233.25471543133918</v>
      </c>
      <c r="M182" s="155">
        <f ca="1">+SUM(M167:M169,M180)</f>
        <v>257.32579543166213</v>
      </c>
      <c r="N182" s="155">
        <f ca="1">+SUM(N167:N169,N180)</f>
        <v>284.32511498568016</v>
      </c>
      <c r="O182" s="155">
        <f ca="1">+SUM(O167:O169,O180)</f>
        <v>314.65831692832171</v>
      </c>
    </row>
    <row r="183" spans="2:15" ht="12.95" customHeight="1" x14ac:dyDescent="0.2">
      <c r="K183" s="143"/>
      <c r="L183" s="143"/>
      <c r="M183" s="143"/>
      <c r="N183" s="143"/>
      <c r="O183" s="143"/>
    </row>
    <row r="184" spans="2:15" ht="12.95" customHeight="1" x14ac:dyDescent="0.2">
      <c r="B184" s="18" t="s">
        <v>80</v>
      </c>
      <c r="K184" s="143"/>
      <c r="L184" s="143"/>
      <c r="M184" s="143"/>
      <c r="N184" s="143"/>
      <c r="O184" s="143"/>
    </row>
    <row r="185" spans="2:15" ht="12.95" customHeight="1" x14ac:dyDescent="0.2">
      <c r="B185" s="1" t="s">
        <v>16</v>
      </c>
      <c r="H185" s="17"/>
      <c r="I185" s="17"/>
      <c r="J185" s="17"/>
      <c r="K185" s="160">
        <f ca="1">-K131</f>
        <v>-21.441559885144944</v>
      </c>
      <c r="L185" s="160">
        <f t="shared" ref="L185:O185" ca="1" si="47">-L131</f>
        <v>-23.84449332054912</v>
      </c>
      <c r="M185" s="160">
        <f t="shared" ca="1" si="47"/>
        <v>-26.548856271321402</v>
      </c>
      <c r="N185" s="160">
        <f t="shared" ca="1" si="47"/>
        <v>-29.597692668931213</v>
      </c>
      <c r="O185" s="160">
        <f t="shared" ca="1" si="47"/>
        <v>-33.040736761434232</v>
      </c>
    </row>
    <row r="186" spans="2:15" s="92" customFormat="1" ht="12.95" customHeight="1" x14ac:dyDescent="0.2">
      <c r="B186" s="16" t="s">
        <v>167</v>
      </c>
      <c r="C186" s="16"/>
      <c r="D186" s="16"/>
      <c r="E186" s="16"/>
      <c r="F186" s="16"/>
      <c r="G186" s="16"/>
      <c r="H186" s="71"/>
      <c r="I186" s="71"/>
      <c r="J186" s="71"/>
      <c r="K186" s="155">
        <f ca="1">SUM(K185)</f>
        <v>-21.441559885144944</v>
      </c>
      <c r="L186" s="155">
        <f ca="1">SUM(L185)</f>
        <v>-23.84449332054912</v>
      </c>
      <c r="M186" s="155">
        <f ca="1">SUM(M185)</f>
        <v>-26.548856271321402</v>
      </c>
      <c r="N186" s="155">
        <f ca="1">SUM(N185)</f>
        <v>-29.597692668931213</v>
      </c>
      <c r="O186" s="155">
        <f ca="1">SUM(O185)</f>
        <v>-33.040736761434232</v>
      </c>
    </row>
    <row r="187" spans="2:15" ht="12.95" customHeight="1" x14ac:dyDescent="0.2">
      <c r="K187" s="143"/>
      <c r="L187" s="143"/>
      <c r="M187" s="143"/>
      <c r="N187" s="143"/>
      <c r="O187" s="143"/>
    </row>
    <row r="188" spans="2:15" ht="12.95" customHeight="1" x14ac:dyDescent="0.2">
      <c r="B188" s="18" t="s">
        <v>81</v>
      </c>
      <c r="K188" s="160"/>
      <c r="L188" s="160"/>
      <c r="M188" s="160"/>
      <c r="N188" s="160"/>
      <c r="O188" s="160"/>
    </row>
    <row r="189" spans="2:15" ht="12.95" customHeight="1" x14ac:dyDescent="0.2">
      <c r="B189" s="1" t="s">
        <v>82</v>
      </c>
      <c r="K189" s="160">
        <f>+K204</f>
        <v>0</v>
      </c>
      <c r="L189" s="160">
        <f t="shared" ref="L189:O189" si="48">+L204</f>
        <v>0</v>
      </c>
      <c r="M189" s="160">
        <f t="shared" si="48"/>
        <v>0</v>
      </c>
      <c r="N189" s="160">
        <f t="shared" si="48"/>
        <v>0</v>
      </c>
      <c r="O189" s="160">
        <f t="shared" si="48"/>
        <v>0</v>
      </c>
    </row>
    <row r="190" spans="2:15" s="93" customFormat="1" ht="12.95" customHeight="1" x14ac:dyDescent="0.2">
      <c r="B190" s="93" t="s">
        <v>156</v>
      </c>
      <c r="K190" s="136">
        <f ca="1">+K222</f>
        <v>0</v>
      </c>
      <c r="L190" s="136">
        <f t="shared" ref="L190:O190" ca="1" si="49">+L222</f>
        <v>0</v>
      </c>
      <c r="M190" s="136">
        <f t="shared" ca="1" si="49"/>
        <v>0</v>
      </c>
      <c r="N190" s="136">
        <f t="shared" ca="1" si="49"/>
        <v>0</v>
      </c>
      <c r="O190" s="136">
        <f t="shared" ca="1" si="49"/>
        <v>0</v>
      </c>
    </row>
    <row r="191" spans="2:15" s="93" customFormat="1" ht="12.95" customHeight="1" x14ac:dyDescent="0.2">
      <c r="B191" s="93" t="s">
        <v>112</v>
      </c>
      <c r="K191" s="136">
        <f t="shared" ref="K191:O193" si="50">+K210</f>
        <v>0</v>
      </c>
      <c r="L191" s="136">
        <f t="shared" si="50"/>
        <v>0</v>
      </c>
      <c r="M191" s="136">
        <f t="shared" si="50"/>
        <v>0</v>
      </c>
      <c r="N191" s="136">
        <f t="shared" si="50"/>
        <v>0</v>
      </c>
      <c r="O191" s="136">
        <f t="shared" si="50"/>
        <v>0</v>
      </c>
    </row>
    <row r="192" spans="2:15" s="93" customFormat="1" ht="12.95" customHeight="1" x14ac:dyDescent="0.2">
      <c r="B192" s="93" t="s">
        <v>113</v>
      </c>
      <c r="K192" s="136">
        <f t="shared" si="50"/>
        <v>-5</v>
      </c>
      <c r="L192" s="136">
        <f t="shared" si="50"/>
        <v>-5</v>
      </c>
      <c r="M192" s="136">
        <f t="shared" si="50"/>
        <v>-5</v>
      </c>
      <c r="N192" s="136">
        <f t="shared" si="50"/>
        <v>-5</v>
      </c>
      <c r="O192" s="136">
        <f t="shared" si="50"/>
        <v>-5</v>
      </c>
    </row>
    <row r="193" spans="1:20" ht="12.95" customHeight="1" x14ac:dyDescent="0.2">
      <c r="B193" s="93" t="s">
        <v>114</v>
      </c>
      <c r="C193" s="93"/>
      <c r="D193" s="93"/>
      <c r="E193" s="93"/>
      <c r="F193" s="93"/>
      <c r="G193" s="93"/>
      <c r="H193" s="93"/>
      <c r="I193" s="93"/>
      <c r="J193" s="93"/>
      <c r="K193" s="136">
        <f t="shared" ca="1" si="50"/>
        <v>-9.5598419593073203</v>
      </c>
      <c r="L193" s="136">
        <f t="shared" ca="1" si="50"/>
        <v>-10.535774982089725</v>
      </c>
      <c r="M193" s="136">
        <f t="shared" ca="1" si="50"/>
        <v>-11.628489147608832</v>
      </c>
      <c r="N193" s="136">
        <f t="shared" ca="1" si="50"/>
        <v>-12.853940103802252</v>
      </c>
      <c r="O193" s="136">
        <f t="shared" ca="1" si="50"/>
        <v>-14.230496322393527</v>
      </c>
    </row>
    <row r="194" spans="1:20" s="21" customFormat="1" ht="12.95" customHeight="1" x14ac:dyDescent="0.2">
      <c r="B194" s="256" t="s">
        <v>168</v>
      </c>
      <c r="C194" s="256"/>
      <c r="D194" s="256"/>
      <c r="E194" s="256"/>
      <c r="F194" s="256"/>
      <c r="G194" s="256"/>
      <c r="H194" s="257"/>
      <c r="I194" s="257"/>
      <c r="J194" s="257"/>
      <c r="K194" s="257">
        <f ca="1">+SUM(K189:K193)</f>
        <v>-14.55984195930732</v>
      </c>
      <c r="L194" s="257">
        <f ca="1">+SUM(L189:L193)</f>
        <v>-15.535774982089725</v>
      </c>
      <c r="M194" s="257">
        <f ca="1">+SUM(M189:M193)</f>
        <v>-16.628489147608832</v>
      </c>
      <c r="N194" s="257">
        <f ca="1">+SUM(N189:N193)</f>
        <v>-17.853940103802252</v>
      </c>
      <c r="O194" s="257">
        <f ca="1">+SUM(O189:O193)</f>
        <v>-19.230496322393527</v>
      </c>
      <c r="T194" s="1"/>
    </row>
    <row r="195" spans="1:20" ht="12.95" customHeight="1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158"/>
      <c r="L195" s="158"/>
      <c r="M195" s="158"/>
      <c r="N195" s="158"/>
      <c r="O195" s="158"/>
      <c r="T195" s="92"/>
    </row>
    <row r="196" spans="1:20" s="93" customFormat="1" ht="12.95" customHeight="1" x14ac:dyDescent="0.2">
      <c r="B196" s="16" t="s">
        <v>83</v>
      </c>
      <c r="C196" s="16"/>
      <c r="D196" s="16"/>
      <c r="E196" s="16"/>
      <c r="F196" s="16"/>
      <c r="G196" s="16"/>
      <c r="H196" s="71"/>
      <c r="I196" s="71"/>
      <c r="J196" s="71"/>
      <c r="K196" s="155">
        <f ca="1">+K182+K186+K194</f>
        <v>175.75816063855206</v>
      </c>
      <c r="L196" s="155">
        <f ca="1">+L182+L186+L194</f>
        <v>193.87444712870035</v>
      </c>
      <c r="M196" s="155">
        <f ca="1">+M182+M186+M194</f>
        <v>214.1484500127319</v>
      </c>
      <c r="N196" s="155">
        <f ca="1">+N182+N186+N194</f>
        <v>236.8734822129467</v>
      </c>
      <c r="O196" s="155">
        <f ca="1">+O182+O186+O194</f>
        <v>262.38708384449393</v>
      </c>
      <c r="T196" s="92"/>
    </row>
    <row r="197" spans="1:20" ht="12.95" customHeight="1" x14ac:dyDescent="0.2">
      <c r="T197" s="92"/>
    </row>
    <row r="198" spans="1:20" ht="12.95" customHeight="1" x14ac:dyDescent="0.2">
      <c r="A198" s="1" t="s">
        <v>0</v>
      </c>
      <c r="B198" s="26" t="s">
        <v>84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30"/>
      <c r="T198" s="92"/>
    </row>
    <row r="200" spans="1:20" ht="12.95" customHeight="1" x14ac:dyDescent="0.35">
      <c r="K200" s="9" t="str">
        <f>+K165</f>
        <v>Fiscal Year Ended 12/31</v>
      </c>
      <c r="L200" s="10"/>
      <c r="M200" s="10"/>
      <c r="N200" s="10"/>
      <c r="O200" s="10"/>
    </row>
    <row r="201" spans="1:20" ht="12.95" customHeight="1" x14ac:dyDescent="0.2">
      <c r="K201" s="11">
        <f>+$K$63</f>
        <v>2021</v>
      </c>
      <c r="L201" s="11">
        <f>+$L$63</f>
        <v>2022</v>
      </c>
      <c r="M201" s="11">
        <f>+$M$63</f>
        <v>2023</v>
      </c>
      <c r="N201" s="11">
        <f>+$N$63</f>
        <v>2024</v>
      </c>
      <c r="O201" s="11">
        <f>+$O$63</f>
        <v>2025</v>
      </c>
    </row>
    <row r="202" spans="1:20" ht="12.95" customHeight="1" x14ac:dyDescent="0.2">
      <c r="B202" s="18" t="s">
        <v>85</v>
      </c>
    </row>
    <row r="203" spans="1:20" ht="12.95" customHeight="1" x14ac:dyDescent="0.2">
      <c r="B203" s="158" t="str">
        <f>+B122</f>
        <v>Long-Term Debt</v>
      </c>
      <c r="C203" s="20"/>
      <c r="D203" s="20"/>
      <c r="E203" s="20"/>
      <c r="F203" s="20"/>
      <c r="G203" s="20"/>
      <c r="H203" s="20"/>
      <c r="I203" s="20"/>
      <c r="J203" s="20"/>
      <c r="K203" s="170">
        <f>+K241</f>
        <v>0</v>
      </c>
      <c r="L203" s="170">
        <f>+L241</f>
        <v>0</v>
      </c>
      <c r="M203" s="170">
        <f>+M241</f>
        <v>0</v>
      </c>
      <c r="N203" s="170">
        <f>+N241</f>
        <v>0</v>
      </c>
      <c r="O203" s="170">
        <f>+O241</f>
        <v>0</v>
      </c>
    </row>
    <row r="204" spans="1:20" s="21" customFormat="1" ht="12.95" customHeight="1" x14ac:dyDescent="0.2">
      <c r="B204" s="21" t="s">
        <v>86</v>
      </c>
      <c r="H204" s="78"/>
      <c r="I204" s="78"/>
      <c r="J204" s="78"/>
      <c r="K204" s="147">
        <f>+SUM(K203)</f>
        <v>0</v>
      </c>
      <c r="L204" s="147">
        <f>+SUM(L203)</f>
        <v>0</v>
      </c>
      <c r="M204" s="147">
        <f>+SUM(M203)</f>
        <v>0</v>
      </c>
      <c r="N204" s="147">
        <f>+SUM(N203)</f>
        <v>0</v>
      </c>
      <c r="O204" s="147">
        <f>+SUM(O203)</f>
        <v>0</v>
      </c>
    </row>
    <row r="206" spans="1:20" ht="12.95" customHeight="1" x14ac:dyDescent="0.2">
      <c r="B206" s="18" t="s">
        <v>326</v>
      </c>
    </row>
    <row r="207" spans="1:20" ht="12.95" customHeight="1" x14ac:dyDescent="0.2">
      <c r="B207" s="1" t="s">
        <v>87</v>
      </c>
      <c r="K207" s="160">
        <f ca="1">+K182+K186</f>
        <v>190.31800259785936</v>
      </c>
      <c r="L207" s="160">
        <f ca="1">+L182+L186</f>
        <v>209.41022211079007</v>
      </c>
      <c r="M207" s="160">
        <f ca="1">+M182+M186</f>
        <v>230.77693916034073</v>
      </c>
      <c r="N207" s="160">
        <f ca="1">+N182+N186</f>
        <v>254.72742231674894</v>
      </c>
      <c r="O207" s="160">
        <f ca="1">+O182+O186</f>
        <v>281.61758016688748</v>
      </c>
    </row>
    <row r="208" spans="1:20" ht="12.95" customHeight="1" x14ac:dyDescent="0.2">
      <c r="B208" s="1" t="s">
        <v>88</v>
      </c>
      <c r="K208" s="137">
        <f>+K204</f>
        <v>0</v>
      </c>
      <c r="L208" s="137">
        <f>+L204</f>
        <v>0</v>
      </c>
      <c r="M208" s="137">
        <f>+M204</f>
        <v>0</v>
      </c>
      <c r="N208" s="137">
        <f>+N204</f>
        <v>0</v>
      </c>
      <c r="O208" s="137">
        <f>+O204</f>
        <v>0</v>
      </c>
    </row>
    <row r="209" spans="1:15" s="92" customFormat="1" ht="12.95" customHeight="1" x14ac:dyDescent="0.2">
      <c r="B209" s="16" t="s">
        <v>323</v>
      </c>
      <c r="C209" s="16"/>
      <c r="D209" s="16"/>
      <c r="E209" s="16"/>
      <c r="F209" s="16"/>
      <c r="G209" s="16"/>
      <c r="H209" s="16"/>
      <c r="I209" s="16"/>
      <c r="J209" s="16"/>
      <c r="K209" s="155">
        <f ca="1">SUM(K207:K208)</f>
        <v>190.31800259785936</v>
      </c>
      <c r="L209" s="155">
        <f ca="1">SUM(L207:L208)</f>
        <v>209.41022211079007</v>
      </c>
      <c r="M209" s="155">
        <f ca="1">SUM(M207:M208)</f>
        <v>230.77693916034073</v>
      </c>
      <c r="N209" s="155">
        <f ca="1">SUM(N207:N208)</f>
        <v>254.72742231674894</v>
      </c>
      <c r="O209" s="155">
        <f ca="1">SUM(O207:O208)</f>
        <v>281.61758016688748</v>
      </c>
    </row>
    <row r="210" spans="1:15" ht="12.95" customHeight="1" x14ac:dyDescent="0.2">
      <c r="B210" s="1" t="s">
        <v>115</v>
      </c>
      <c r="K210" s="171">
        <f>+K135</f>
        <v>0</v>
      </c>
      <c r="L210" s="171">
        <f t="shared" ref="L210:O210" si="51">+L135</f>
        <v>0</v>
      </c>
      <c r="M210" s="171">
        <f t="shared" si="51"/>
        <v>0</v>
      </c>
      <c r="N210" s="171">
        <f t="shared" si="51"/>
        <v>0</v>
      </c>
      <c r="O210" s="171">
        <f t="shared" si="51"/>
        <v>0</v>
      </c>
    </row>
    <row r="211" spans="1:15" ht="12.95" customHeight="1" x14ac:dyDescent="0.2">
      <c r="B211" s="1" t="s">
        <v>116</v>
      </c>
      <c r="K211" s="171">
        <f>-K138</f>
        <v>-5</v>
      </c>
      <c r="L211" s="171">
        <f t="shared" ref="L211:O212" si="52">-L138</f>
        <v>-5</v>
      </c>
      <c r="M211" s="171">
        <f t="shared" si="52"/>
        <v>-5</v>
      </c>
      <c r="N211" s="171">
        <f t="shared" si="52"/>
        <v>-5</v>
      </c>
      <c r="O211" s="171">
        <f t="shared" si="52"/>
        <v>-5</v>
      </c>
    </row>
    <row r="212" spans="1:15" ht="12.95" customHeight="1" x14ac:dyDescent="0.2">
      <c r="B212" s="20" t="s">
        <v>117</v>
      </c>
      <c r="C212" s="20"/>
      <c r="D212" s="20"/>
      <c r="E212" s="20"/>
      <c r="F212" s="20"/>
      <c r="G212" s="20"/>
      <c r="H212" s="20"/>
      <c r="I212" s="20"/>
      <c r="J212" s="20"/>
      <c r="K212" s="172">
        <f ca="1">-K139</f>
        <v>-9.5598419593073203</v>
      </c>
      <c r="L212" s="172">
        <f t="shared" ca="1" si="52"/>
        <v>-10.535774982089725</v>
      </c>
      <c r="M212" s="172">
        <f t="shared" ca="1" si="52"/>
        <v>-11.628489147608832</v>
      </c>
      <c r="N212" s="172">
        <f t="shared" ca="1" si="52"/>
        <v>-12.853940103802252</v>
      </c>
      <c r="O212" s="172">
        <f t="shared" ca="1" si="52"/>
        <v>-14.230496322393527</v>
      </c>
    </row>
    <row r="213" spans="1:15" s="21" customFormat="1" ht="12.95" customHeight="1" x14ac:dyDescent="0.2">
      <c r="B213" s="21" t="s">
        <v>324</v>
      </c>
      <c r="C213" s="92"/>
      <c r="D213" s="92"/>
      <c r="E213" s="92"/>
      <c r="F213" s="92"/>
      <c r="G213" s="92"/>
      <c r="H213" s="92"/>
      <c r="I213" s="92"/>
      <c r="J213" s="92"/>
      <c r="K213" s="94">
        <f ca="1">+SUM(K209:K212)</f>
        <v>175.75816063855206</v>
      </c>
      <c r="L213" s="94">
        <f ca="1">+SUM(L209:L212)</f>
        <v>193.87444712870035</v>
      </c>
      <c r="M213" s="94">
        <f ca="1">+SUM(M209:M212)</f>
        <v>214.1484500127319</v>
      </c>
      <c r="N213" s="94">
        <f ca="1">+SUM(N209:N212)</f>
        <v>236.8734822129467</v>
      </c>
      <c r="O213" s="94">
        <f ca="1">+SUM(O209:O212)</f>
        <v>262.38708384449393</v>
      </c>
    </row>
    <row r="215" spans="1:15" ht="12.95" customHeight="1" x14ac:dyDescent="0.2">
      <c r="B215" s="1" t="s">
        <v>89</v>
      </c>
      <c r="H215" s="23"/>
      <c r="I215" s="23"/>
      <c r="J215" s="23"/>
      <c r="K215" s="160">
        <f>+J103</f>
        <v>713.27823871970929</v>
      </c>
      <c r="L215" s="160">
        <f ca="1">+K103</f>
        <v>889.03639935826141</v>
      </c>
      <c r="M215" s="160">
        <f ca="1">+L103</f>
        <v>1082.9108464869619</v>
      </c>
      <c r="N215" s="160">
        <f ca="1">+M103</f>
        <v>1297.0592964996938</v>
      </c>
      <c r="O215" s="160">
        <f ca="1">+N103</f>
        <v>1533.9327787126406</v>
      </c>
    </row>
    <row r="216" spans="1:15" ht="12.95" customHeight="1" x14ac:dyDescent="0.2">
      <c r="B216" s="1" t="s">
        <v>90</v>
      </c>
      <c r="H216" s="23"/>
      <c r="I216" s="23"/>
      <c r="J216" s="23"/>
      <c r="K216" s="137">
        <f>-$E$6</f>
        <v>-5</v>
      </c>
      <c r="L216" s="137">
        <f>-$E$6</f>
        <v>-5</v>
      </c>
      <c r="M216" s="137">
        <f>-$E$6</f>
        <v>-5</v>
      </c>
      <c r="N216" s="137">
        <f>-$E$6</f>
        <v>-5</v>
      </c>
      <c r="O216" s="137">
        <f>-$E$6</f>
        <v>-5</v>
      </c>
    </row>
    <row r="217" spans="1:15" ht="12.95" customHeight="1" x14ac:dyDescent="0.2">
      <c r="B217" s="1" t="s">
        <v>325</v>
      </c>
      <c r="H217" s="23"/>
      <c r="I217" s="23"/>
      <c r="J217" s="23"/>
      <c r="K217" s="137">
        <f ca="1">+K213</f>
        <v>175.75816063855206</v>
      </c>
      <c r="L217" s="137">
        <f ca="1">+L213</f>
        <v>193.87444712870035</v>
      </c>
      <c r="M217" s="137">
        <f ca="1">+M213</f>
        <v>214.1484500127319</v>
      </c>
      <c r="N217" s="137">
        <f ca="1">+N213</f>
        <v>236.8734822129467</v>
      </c>
      <c r="O217" s="137">
        <f ca="1">+O213</f>
        <v>262.38708384449393</v>
      </c>
    </row>
    <row r="218" spans="1:15" s="92" customFormat="1" ht="12.95" customHeight="1" x14ac:dyDescent="0.2">
      <c r="B218" s="16" t="s">
        <v>91</v>
      </c>
      <c r="C218" s="16"/>
      <c r="D218" s="16"/>
      <c r="E218" s="16"/>
      <c r="F218" s="16"/>
      <c r="G218" s="16"/>
      <c r="H218" s="71"/>
      <c r="I218" s="71"/>
      <c r="J218" s="71"/>
      <c r="K218" s="155">
        <f ca="1">SUM(K215:K217)</f>
        <v>884.03639935826141</v>
      </c>
      <c r="L218" s="155">
        <f ca="1">SUM(L215:L217)</f>
        <v>1077.9108464869619</v>
      </c>
      <c r="M218" s="155">
        <f ca="1">SUM(M215:M217)</f>
        <v>1292.0592964996938</v>
      </c>
      <c r="N218" s="155">
        <f ca="1">SUM(N215:N217)</f>
        <v>1528.9327787126406</v>
      </c>
      <c r="O218" s="155">
        <f ca="1">SUM(O215:O217)</f>
        <v>1791.3198625571345</v>
      </c>
    </row>
    <row r="220" spans="1:15" s="21" customFormat="1" ht="12.95" customHeight="1" x14ac:dyDescent="0.2">
      <c r="B220" s="18" t="s">
        <v>154</v>
      </c>
    </row>
    <row r="221" spans="1:15" ht="12.95" customHeight="1" x14ac:dyDescent="0.2">
      <c r="B221" s="158" t="str">
        <f>+B121</f>
        <v>Revolving Credit Facility</v>
      </c>
      <c r="C221" s="20"/>
      <c r="D221" s="20"/>
      <c r="E221" s="20"/>
      <c r="F221" s="20"/>
      <c r="G221" s="20"/>
      <c r="H221" s="20"/>
      <c r="I221" s="20"/>
      <c r="J221" s="20"/>
      <c r="K221" s="140">
        <f ca="1">+K230</f>
        <v>0</v>
      </c>
      <c r="L221" s="140">
        <f ca="1">+L230</f>
        <v>0</v>
      </c>
      <c r="M221" s="140">
        <f ca="1">+M230</f>
        <v>0</v>
      </c>
      <c r="N221" s="140">
        <f ca="1">+N230</f>
        <v>0</v>
      </c>
      <c r="O221" s="140">
        <f ca="1">+O230</f>
        <v>0</v>
      </c>
    </row>
    <row r="222" spans="1:15" s="21" customFormat="1" ht="12.95" customHeight="1" x14ac:dyDescent="0.2">
      <c r="B222" s="92" t="s">
        <v>155</v>
      </c>
      <c r="C222" s="92"/>
      <c r="D222" s="92"/>
      <c r="E222" s="92"/>
      <c r="F222" s="92"/>
      <c r="G222" s="92"/>
      <c r="H222" s="92"/>
      <c r="I222" s="92"/>
      <c r="J222" s="92"/>
      <c r="K222" s="154">
        <f ca="1">SUM(K221:K221)</f>
        <v>0</v>
      </c>
      <c r="L222" s="154">
        <f ca="1">SUM(L221:L221)</f>
        <v>0</v>
      </c>
      <c r="M222" s="154">
        <f ca="1">SUM(M221:M221)</f>
        <v>0</v>
      </c>
      <c r="N222" s="154">
        <f ca="1">SUM(N221:N221)</f>
        <v>0</v>
      </c>
      <c r="O222" s="154">
        <f ca="1">SUM(O221:O221)</f>
        <v>0</v>
      </c>
    </row>
    <row r="224" spans="1:15" ht="12.95" customHeight="1" x14ac:dyDescent="0.2">
      <c r="A224" s="1" t="s">
        <v>0</v>
      </c>
      <c r="B224" s="26" t="s">
        <v>92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30"/>
    </row>
    <row r="226" spans="2:15" ht="12.95" customHeight="1" x14ac:dyDescent="0.35">
      <c r="K226" s="9" t="str">
        <f>+K200</f>
        <v>Fiscal Year Ended 12/31</v>
      </c>
      <c r="L226" s="10"/>
      <c r="M226" s="10"/>
      <c r="N226" s="10"/>
      <c r="O226" s="10"/>
    </row>
    <row r="227" spans="2:15" ht="12.95" customHeight="1" x14ac:dyDescent="0.2">
      <c r="K227" s="11">
        <f>+$K$63</f>
        <v>2021</v>
      </c>
      <c r="L227" s="11">
        <f>+$L$63</f>
        <v>2022</v>
      </c>
      <c r="M227" s="11">
        <f>+$M$63</f>
        <v>2023</v>
      </c>
      <c r="N227" s="11">
        <f>+$N$63</f>
        <v>2024</v>
      </c>
      <c r="O227" s="11">
        <f>+$O$63</f>
        <v>2025</v>
      </c>
    </row>
    <row r="228" spans="2:15" ht="12.95" customHeight="1" x14ac:dyDescent="0.2">
      <c r="B228" s="174" t="str">
        <f>+B221</f>
        <v>Revolving Credit Facility</v>
      </c>
      <c r="C228" s="20"/>
      <c r="D228" s="20"/>
      <c r="E228" s="20"/>
      <c r="F228" s="20"/>
      <c r="G228" s="20"/>
      <c r="H228" s="20"/>
      <c r="I228" s="20"/>
      <c r="J228" s="20"/>
      <c r="K228" s="93"/>
      <c r="L228" s="20"/>
      <c r="M228" s="20"/>
      <c r="N228" s="20"/>
      <c r="O228" s="20"/>
    </row>
    <row r="229" spans="2:15" ht="12.95" customHeight="1" x14ac:dyDescent="0.2">
      <c r="B229" s="1" t="s">
        <v>93</v>
      </c>
      <c r="K229" s="118">
        <f>+J121</f>
        <v>0</v>
      </c>
      <c r="L229" s="160">
        <f ca="1">+K231</f>
        <v>0</v>
      </c>
      <c r="M229" s="160">
        <f ca="1">+L231</f>
        <v>0</v>
      </c>
      <c r="N229" s="160">
        <f ca="1">+M231</f>
        <v>0</v>
      </c>
      <c r="O229" s="160">
        <f ca="1">+N231</f>
        <v>0</v>
      </c>
    </row>
    <row r="230" spans="2:15" ht="12.95" customHeight="1" x14ac:dyDescent="0.2">
      <c r="B230" s="20" t="s">
        <v>94</v>
      </c>
      <c r="C230" s="20"/>
      <c r="D230" s="20"/>
      <c r="E230" s="20"/>
      <c r="F230" s="20"/>
      <c r="G230" s="20"/>
      <c r="H230" s="20"/>
      <c r="I230" s="20"/>
      <c r="J230" s="20"/>
      <c r="K230" s="140">
        <f ca="1">-MIN(K229,K218)</f>
        <v>0</v>
      </c>
      <c r="L230" s="140">
        <f ca="1">-MIN(L229,L218)</f>
        <v>0</v>
      </c>
      <c r="M230" s="140">
        <f ca="1">-MIN(M229,M218)</f>
        <v>0</v>
      </c>
      <c r="N230" s="140">
        <f ca="1">-MIN(N229,N218)</f>
        <v>0</v>
      </c>
      <c r="O230" s="140">
        <f ca="1">-MIN(O229,O218)</f>
        <v>0</v>
      </c>
    </row>
    <row r="231" spans="2:15" ht="12.95" customHeight="1" x14ac:dyDescent="0.2">
      <c r="B231" s="21" t="s">
        <v>95</v>
      </c>
      <c r="C231" s="21"/>
      <c r="D231" s="21"/>
      <c r="E231" s="21"/>
      <c r="F231" s="21"/>
      <c r="G231" s="21"/>
      <c r="H231" s="21"/>
      <c r="I231" s="21"/>
      <c r="J231" s="21"/>
      <c r="K231" s="147">
        <f ca="1">SUM(K229:K230)</f>
        <v>0</v>
      </c>
      <c r="L231" s="147">
        <f ca="1">SUM(L229:L230)</f>
        <v>0</v>
      </c>
      <c r="M231" s="147">
        <f ca="1">SUM(M229:M230)</f>
        <v>0</v>
      </c>
      <c r="N231" s="147">
        <f ca="1">SUM(N229:N230)</f>
        <v>0</v>
      </c>
      <c r="O231" s="147">
        <f ca="1">SUM(O229:O230)</f>
        <v>0</v>
      </c>
    </row>
    <row r="232" spans="2:15" ht="12.95" customHeight="1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175"/>
      <c r="L232" s="175"/>
      <c r="M232" s="175"/>
      <c r="N232" s="175"/>
      <c r="O232" s="175"/>
    </row>
    <row r="233" spans="2:15" ht="12.95" customHeight="1" x14ac:dyDescent="0.25">
      <c r="B233" s="1" t="s">
        <v>96</v>
      </c>
      <c r="G233" s="1" t="s">
        <v>169</v>
      </c>
      <c r="H233"/>
      <c r="I233" s="299">
        <v>50</v>
      </c>
      <c r="K233" s="137">
        <f ca="1">+AVERAGE(K229,K231)</f>
        <v>0</v>
      </c>
      <c r="L233" s="137">
        <f ca="1">+AVERAGE(L229,L231)</f>
        <v>0</v>
      </c>
      <c r="M233" s="137">
        <f ca="1">+AVERAGE(M229,M231)</f>
        <v>0</v>
      </c>
      <c r="N233" s="137">
        <f ca="1">+AVERAGE(N229,N231)</f>
        <v>0</v>
      </c>
      <c r="O233" s="137">
        <f ca="1">+AVERAGE(O229,O231)</f>
        <v>0</v>
      </c>
    </row>
    <row r="234" spans="2:15" ht="12.95" customHeight="1" x14ac:dyDescent="0.2">
      <c r="B234" s="1" t="s">
        <v>97</v>
      </c>
      <c r="G234" s="1" t="s">
        <v>138</v>
      </c>
      <c r="I234" s="258">
        <v>0.05</v>
      </c>
      <c r="K234" s="160">
        <f ca="1">+IF($E$5=1,K233,0)*$I$234</f>
        <v>0</v>
      </c>
      <c r="L234" s="160">
        <f ca="1">+IF($E$5=1,L233,0)*$I$234</f>
        <v>0</v>
      </c>
      <c r="M234" s="160">
        <f ca="1">+IF($E$5=1,M233,0)*$I$234</f>
        <v>0</v>
      </c>
      <c r="N234" s="160">
        <f ca="1">+IF($E$5=1,N233,0)*$I$234</f>
        <v>0</v>
      </c>
      <c r="O234" s="160">
        <f ca="1">+IF($E$5=1,O233,0)*$I$234</f>
        <v>0</v>
      </c>
    </row>
    <row r="235" spans="2:15" ht="3" customHeight="1" x14ac:dyDescent="0.2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2:15" ht="12.95" hidden="1" customHeight="1" outlineLevel="1" x14ac:dyDescent="0.2"/>
    <row r="237" spans="2:15" ht="12.95" hidden="1" customHeight="1" outlineLevel="1" x14ac:dyDescent="0.2">
      <c r="B237" s="1" t="s">
        <v>98</v>
      </c>
      <c r="K237" s="259">
        <f ca="1">+IF(K231&gt;$I$233,1,0)</f>
        <v>0</v>
      </c>
      <c r="L237" s="259">
        <f ca="1">+IF(L231&gt;$I$233,1,0)</f>
        <v>0</v>
      </c>
      <c r="M237" s="259">
        <f ca="1">+IF(M231&gt;$I$233,1,0)</f>
        <v>0</v>
      </c>
      <c r="N237" s="259">
        <f ca="1">+IF(N231&gt;$I$233,1,0)</f>
        <v>0</v>
      </c>
      <c r="O237" s="259">
        <f ca="1">+IF(O231&gt;$I$233,1,0)</f>
        <v>0</v>
      </c>
    </row>
    <row r="238" spans="2:15" ht="12.95" customHeight="1" collapsed="1" x14ac:dyDescent="0.2"/>
    <row r="239" spans="2:15" ht="12.95" customHeight="1" x14ac:dyDescent="0.2">
      <c r="B239" s="174" t="str">
        <f>+B122</f>
        <v>Long-Term Debt</v>
      </c>
      <c r="C239" s="28"/>
      <c r="D239" s="28"/>
      <c r="E239" s="28"/>
      <c r="F239" s="28"/>
      <c r="G239" s="28"/>
      <c r="H239" s="20"/>
      <c r="I239" s="28"/>
      <c r="J239" s="28"/>
      <c r="K239" s="28"/>
      <c r="L239" s="28"/>
      <c r="M239" s="28"/>
      <c r="N239" s="28"/>
      <c r="O239" s="28"/>
    </row>
    <row r="240" spans="2:15" ht="12.95" customHeight="1" x14ac:dyDescent="0.2">
      <c r="B240" s="1" t="s">
        <v>93</v>
      </c>
      <c r="K240" s="117">
        <f>+J122</f>
        <v>50</v>
      </c>
      <c r="L240" s="160">
        <f>+K242</f>
        <v>50</v>
      </c>
      <c r="M240" s="160">
        <f>+L242</f>
        <v>50</v>
      </c>
      <c r="N240" s="160">
        <f>+M242</f>
        <v>50</v>
      </c>
      <c r="O240" s="160">
        <f>+N242</f>
        <v>50</v>
      </c>
    </row>
    <row r="241" spans="1:15" ht="12.95" customHeight="1" x14ac:dyDescent="0.2">
      <c r="B241" s="20" t="s">
        <v>99</v>
      </c>
      <c r="C241" s="20"/>
      <c r="D241" s="20"/>
      <c r="E241" s="20"/>
      <c r="F241" s="20"/>
      <c r="G241" s="20"/>
      <c r="H241" s="20"/>
      <c r="I241" s="20"/>
      <c r="J241" s="20"/>
      <c r="K241" s="138">
        <v>0</v>
      </c>
      <c r="L241" s="138">
        <v>0</v>
      </c>
      <c r="M241" s="138">
        <v>0</v>
      </c>
      <c r="N241" s="138">
        <v>0</v>
      </c>
      <c r="O241" s="138">
        <v>0</v>
      </c>
    </row>
    <row r="242" spans="1:15" ht="12.95" customHeight="1" x14ac:dyDescent="0.2">
      <c r="B242" s="92" t="s">
        <v>95</v>
      </c>
      <c r="C242" s="92"/>
      <c r="D242" s="92"/>
      <c r="E242" s="92"/>
      <c r="F242" s="92"/>
      <c r="G242" s="92"/>
      <c r="H242" s="93"/>
      <c r="I242" s="92"/>
      <c r="J242" s="92"/>
      <c r="K242" s="154">
        <f>SUM(K240:K241)</f>
        <v>50</v>
      </c>
      <c r="L242" s="154">
        <f>SUM(L240:L241)</f>
        <v>50</v>
      </c>
      <c r="M242" s="154">
        <f>SUM(M240:M241)</f>
        <v>50</v>
      </c>
      <c r="N242" s="154">
        <f>SUM(N240:N241)</f>
        <v>50</v>
      </c>
      <c r="O242" s="154">
        <f>SUM(O240:O241)</f>
        <v>50</v>
      </c>
    </row>
    <row r="243" spans="1:15" ht="12.95" customHeight="1" x14ac:dyDescent="0.2">
      <c r="B243" s="21"/>
      <c r="C243" s="21"/>
      <c r="D243" s="21"/>
      <c r="E243" s="21"/>
      <c r="F243" s="21"/>
      <c r="G243" s="21"/>
      <c r="I243" s="21"/>
      <c r="J243" s="21"/>
      <c r="K243" s="21"/>
      <c r="L243" s="21"/>
      <c r="M243" s="21"/>
      <c r="N243" s="21"/>
      <c r="O243" s="21"/>
    </row>
    <row r="244" spans="1:15" ht="12.95" customHeight="1" x14ac:dyDescent="0.2">
      <c r="B244" s="1" t="s">
        <v>96</v>
      </c>
      <c r="K244" s="160">
        <f>+AVERAGE(K240,K242)</f>
        <v>50</v>
      </c>
      <c r="L244" s="160">
        <f>+AVERAGE(L240,L242)</f>
        <v>50</v>
      </c>
      <c r="M244" s="160">
        <f>+AVERAGE(M240,M242)</f>
        <v>50</v>
      </c>
      <c r="N244" s="160">
        <f>+AVERAGE(N240,N242)</f>
        <v>50</v>
      </c>
      <c r="O244" s="160">
        <f>+AVERAGE(O240,O242)</f>
        <v>50</v>
      </c>
    </row>
    <row r="245" spans="1:15" ht="12.95" customHeight="1" x14ac:dyDescent="0.2">
      <c r="B245" s="1" t="s">
        <v>97</v>
      </c>
      <c r="G245" s="93" t="s">
        <v>138</v>
      </c>
      <c r="H245" s="93"/>
      <c r="I245" s="173">
        <v>0.05</v>
      </c>
      <c r="K245" s="160">
        <f>+IF($E$5=1,K244,0)*$I$245</f>
        <v>2.5</v>
      </c>
      <c r="L245" s="160">
        <f>+IF($E$5=1,L244,0)*$I$245</f>
        <v>2.5</v>
      </c>
      <c r="M245" s="160">
        <f>+IF($E$5=1,M244,0)*$I$245</f>
        <v>2.5</v>
      </c>
      <c r="N245" s="160">
        <f>+IF($E$5=1,N244,0)*$I$245</f>
        <v>2.5</v>
      </c>
      <c r="O245" s="160">
        <f>+IF($E$5=1,O244,0)*$I$245</f>
        <v>2.5</v>
      </c>
    </row>
    <row r="246" spans="1:15" ht="3" customHeight="1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8" spans="1:15" ht="12.95" customHeight="1" x14ac:dyDescent="0.2">
      <c r="A248" s="1" t="s">
        <v>0</v>
      </c>
      <c r="B248" s="26" t="s">
        <v>118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30"/>
    </row>
    <row r="250" spans="1:15" ht="12.95" customHeight="1" x14ac:dyDescent="0.35">
      <c r="K250" s="9" t="str">
        <f>+K226</f>
        <v>Fiscal Year Ended 12/31</v>
      </c>
      <c r="L250" s="10"/>
      <c r="M250" s="10"/>
      <c r="N250" s="10"/>
      <c r="O250" s="10"/>
    </row>
    <row r="251" spans="1:15" ht="12.95" customHeight="1" x14ac:dyDescent="0.2">
      <c r="K251" s="11">
        <f>+$K$63</f>
        <v>2021</v>
      </c>
      <c r="L251" s="11">
        <f>+$L$63</f>
        <v>2022</v>
      </c>
      <c r="M251" s="11">
        <f>+$M$63</f>
        <v>2023</v>
      </c>
      <c r="N251" s="11">
        <f>+$N$63</f>
        <v>2024</v>
      </c>
      <c r="O251" s="11">
        <f>+$O$63</f>
        <v>2025</v>
      </c>
    </row>
    <row r="252" spans="1:15" ht="12.95" customHeight="1" x14ac:dyDescent="0.2">
      <c r="B252" s="20" t="s">
        <v>93</v>
      </c>
      <c r="C252" s="20"/>
      <c r="D252" s="20"/>
      <c r="E252" s="20"/>
      <c r="F252" s="20"/>
      <c r="G252" s="20"/>
      <c r="H252" s="20"/>
      <c r="I252" s="20"/>
      <c r="J252" s="20"/>
      <c r="K252" s="170">
        <f>+J103</f>
        <v>713.27823871970929</v>
      </c>
      <c r="L252" s="170">
        <f ca="1">+K103</f>
        <v>889.03639935826141</v>
      </c>
      <c r="M252" s="170">
        <f ca="1">+L103</f>
        <v>1082.9108464869619</v>
      </c>
      <c r="N252" s="170">
        <f ca="1">+M103</f>
        <v>1297.0592964996938</v>
      </c>
      <c r="O252" s="170">
        <f ca="1">+N103</f>
        <v>1533.9327787126406</v>
      </c>
    </row>
    <row r="253" spans="1:15" s="21" customFormat="1" ht="12.95" customHeight="1" x14ac:dyDescent="0.2">
      <c r="B253" s="16" t="s">
        <v>95</v>
      </c>
      <c r="C253" s="16"/>
      <c r="D253" s="16"/>
      <c r="E253" s="16"/>
      <c r="F253" s="16"/>
      <c r="G253" s="16"/>
      <c r="H253" s="16"/>
      <c r="I253" s="16"/>
      <c r="J253" s="16"/>
      <c r="K253" s="155">
        <f ca="1">+K103</f>
        <v>889.03639935826141</v>
      </c>
      <c r="L253" s="155">
        <f ca="1">+L103</f>
        <v>1082.9108464869619</v>
      </c>
      <c r="M253" s="155">
        <f ca="1">+M103</f>
        <v>1297.0592964996938</v>
      </c>
      <c r="N253" s="155">
        <f ca="1">+N103</f>
        <v>1533.9327787126406</v>
      </c>
      <c r="O253" s="155">
        <f ca="1">+O103</f>
        <v>1796.3198625571345</v>
      </c>
    </row>
    <row r="255" spans="1:15" ht="12.95" customHeight="1" x14ac:dyDescent="0.2">
      <c r="B255" s="1" t="s">
        <v>96</v>
      </c>
      <c r="K255" s="137">
        <f ca="1">+AVERAGE(K252,K253)</f>
        <v>801.15731903898541</v>
      </c>
      <c r="L255" s="137">
        <f ca="1">+AVERAGE(L252,L253)</f>
        <v>985.97362292261164</v>
      </c>
      <c r="M255" s="137">
        <f ca="1">+AVERAGE(M252,M253)</f>
        <v>1189.9850714933277</v>
      </c>
      <c r="N255" s="137">
        <f ca="1">+AVERAGE(N252,N253)</f>
        <v>1415.4960376061672</v>
      </c>
      <c r="O255" s="137">
        <f ca="1">+AVERAGE(O252,O253)</f>
        <v>1665.1263206348876</v>
      </c>
    </row>
    <row r="256" spans="1:15" ht="12.95" customHeight="1" x14ac:dyDescent="0.2">
      <c r="B256" s="20" t="s">
        <v>100</v>
      </c>
      <c r="C256" s="20"/>
      <c r="D256" s="20"/>
      <c r="E256" s="20"/>
      <c r="F256" s="20"/>
      <c r="G256" s="260" t="s">
        <v>101</v>
      </c>
      <c r="H256" s="20"/>
      <c r="I256" s="79">
        <v>0.01</v>
      </c>
      <c r="J256" s="20"/>
      <c r="K256" s="170">
        <f ca="1">+IF($E$5=1,K255,0)*$I$256</f>
        <v>8.0115731903898535</v>
      </c>
      <c r="L256" s="170">
        <f ca="1">+IF($E$5=1,L255,0)*$I$256</f>
        <v>9.859736229226117</v>
      </c>
      <c r="M256" s="170">
        <f ca="1">+IF($E$5=1,M255,0)*$I$256</f>
        <v>11.899850714933278</v>
      </c>
      <c r="N256" s="170">
        <f ca="1">+IF($E$5=1,N255,0)*$I$256</f>
        <v>14.154960376061672</v>
      </c>
      <c r="O256" s="170">
        <f ca="1">+IF($E$5=1,O255,0)*$I$256</f>
        <v>16.651263206348876</v>
      </c>
    </row>
    <row r="257" spans="1:23" ht="12.95" customHeight="1" x14ac:dyDescent="0.2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1:23" ht="12.95" customHeight="1" x14ac:dyDescent="0.2">
      <c r="A258" s="1" t="s">
        <v>0</v>
      </c>
      <c r="B258" s="26" t="s">
        <v>139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30"/>
    </row>
    <row r="260" spans="1:23" ht="12.95" customHeight="1" x14ac:dyDescent="0.35">
      <c r="H260" s="98" t="str">
        <f>+$K$250</f>
        <v>Fiscal Year Ended 12/31</v>
      </c>
      <c r="I260" s="108"/>
      <c r="J260" s="98"/>
      <c r="K260" s="31"/>
      <c r="L260" s="99"/>
      <c r="M260" s="99"/>
      <c r="N260" s="99"/>
      <c r="O260" s="99"/>
    </row>
    <row r="261" spans="1:23" ht="12.95" customHeight="1" x14ac:dyDescent="0.2">
      <c r="H261" s="32">
        <f>+$H$63</f>
        <v>2018</v>
      </c>
      <c r="I261" s="32">
        <f>+$I$63</f>
        <v>2019</v>
      </c>
      <c r="J261" s="33">
        <f>+$J$63</f>
        <v>2020</v>
      </c>
      <c r="K261" s="11">
        <f>+$K$63</f>
        <v>2021</v>
      </c>
      <c r="L261" s="11">
        <f>+$L$63</f>
        <v>2022</v>
      </c>
      <c r="M261" s="11">
        <f>+$M$63</f>
        <v>2023</v>
      </c>
      <c r="N261" s="11">
        <f>+$N$63</f>
        <v>2024</v>
      </c>
      <c r="O261" s="11">
        <f>+$O$63</f>
        <v>2025</v>
      </c>
    </row>
    <row r="262" spans="1:23" ht="12.95" customHeight="1" x14ac:dyDescent="0.2">
      <c r="B262" s="1" t="s">
        <v>39</v>
      </c>
      <c r="H262" s="17">
        <f t="shared" ref="H262:O262" si="53">+H73</f>
        <v>144.38336269074406</v>
      </c>
      <c r="I262" s="17">
        <f t="shared" si="53"/>
        <v>158.09058392211767</v>
      </c>
      <c r="J262" s="213">
        <f t="shared" si="53"/>
        <v>173.73619092811771</v>
      </c>
      <c r="K262" s="17">
        <f t="shared" ca="1" si="53"/>
        <v>191.19683918614641</v>
      </c>
      <c r="L262" s="17">
        <f t="shared" ca="1" si="53"/>
        <v>210.71549964179448</v>
      </c>
      <c r="M262" s="17">
        <f t="shared" ca="1" si="53"/>
        <v>232.56978295217664</v>
      </c>
      <c r="N262" s="17">
        <f t="shared" ca="1" si="53"/>
        <v>257.07880207604501</v>
      </c>
      <c r="O262" s="17">
        <f t="shared" ca="1" si="53"/>
        <v>284.60992644787052</v>
      </c>
    </row>
    <row r="263" spans="1:23" ht="12.95" customHeight="1" x14ac:dyDescent="0.25">
      <c r="J263" s="192"/>
      <c r="Q263"/>
      <c r="R263"/>
      <c r="S263"/>
      <c r="T263"/>
    </row>
    <row r="264" spans="1:23" ht="12.95" customHeight="1" x14ac:dyDescent="0.25">
      <c r="B264" s="255" t="s">
        <v>158</v>
      </c>
      <c r="J264" s="192"/>
      <c r="Q264"/>
      <c r="R264"/>
      <c r="S264"/>
      <c r="T264"/>
    </row>
    <row r="265" spans="1:23" ht="12.95" customHeight="1" x14ac:dyDescent="0.25">
      <c r="B265" s="1" t="s">
        <v>140</v>
      </c>
      <c r="H265" s="135">
        <f>+H75</f>
        <v>100.91013022450269</v>
      </c>
      <c r="I265" s="135">
        <f>+I75</f>
        <v>101.22532805211092</v>
      </c>
      <c r="J265" s="236">
        <f>+J75</f>
        <v>101.5551580431645</v>
      </c>
      <c r="K265" s="23">
        <f ca="1">+K284</f>
        <v>101.90401653516366</v>
      </c>
      <c r="L265" s="23">
        <f ca="1">+L284</f>
        <v>102.2715337479319</v>
      </c>
      <c r="M265" s="23">
        <f ca="1">+M284</f>
        <v>102.65620817950474</v>
      </c>
      <c r="N265" s="23">
        <f ca="1">+N284</f>
        <v>103.05644930635414</v>
      </c>
      <c r="O265" s="23">
        <f ca="1">+O284</f>
        <v>103.47059481132945</v>
      </c>
      <c r="Q265"/>
      <c r="R265"/>
      <c r="S265"/>
      <c r="T265"/>
      <c r="U265" s="23"/>
      <c r="V265" s="23"/>
      <c r="W265"/>
    </row>
    <row r="266" spans="1:23" ht="12.95" customHeight="1" x14ac:dyDescent="0.25">
      <c r="B266" s="93" t="s">
        <v>141</v>
      </c>
      <c r="C266" s="93"/>
      <c r="D266" s="93"/>
      <c r="E266" s="93"/>
      <c r="F266" s="93"/>
      <c r="G266" s="93"/>
      <c r="H266" s="136">
        <f>+H267-H265</f>
        <v>5</v>
      </c>
      <c r="I266" s="136">
        <f>+I267-I265</f>
        <v>5</v>
      </c>
      <c r="J266" s="237">
        <f>+J267-J265</f>
        <v>5</v>
      </c>
      <c r="K266" s="111">
        <f>+J266</f>
        <v>5</v>
      </c>
      <c r="L266" s="111">
        <f>+K266</f>
        <v>5</v>
      </c>
      <c r="M266" s="111">
        <f>+L266</f>
        <v>5</v>
      </c>
      <c r="N266" s="111">
        <f>+M266</f>
        <v>5</v>
      </c>
      <c r="O266" s="111">
        <f>+N266</f>
        <v>5</v>
      </c>
      <c r="Q266"/>
      <c r="R266"/>
      <c r="S266"/>
      <c r="T266"/>
      <c r="U266" s="23"/>
      <c r="V266" s="23"/>
      <c r="W266"/>
    </row>
    <row r="267" spans="1:23" ht="12.95" customHeight="1" x14ac:dyDescent="0.25">
      <c r="B267" s="183" t="s">
        <v>107</v>
      </c>
      <c r="C267" s="183"/>
      <c r="D267" s="183"/>
      <c r="E267" s="183"/>
      <c r="F267" s="183"/>
      <c r="G267" s="183"/>
      <c r="H267" s="238">
        <f>+H78</f>
        <v>105.91013022450269</v>
      </c>
      <c r="I267" s="238">
        <f>+I78</f>
        <v>106.22532805211092</v>
      </c>
      <c r="J267" s="239">
        <f>+J78</f>
        <v>106.5551580431645</v>
      </c>
      <c r="K267" s="187">
        <f ca="1">SUM(K265:K266)</f>
        <v>106.90401653516366</v>
      </c>
      <c r="L267" s="187">
        <f ca="1">SUM(L265:L266)</f>
        <v>107.2715337479319</v>
      </c>
      <c r="M267" s="187">
        <f ca="1">SUM(M265:M266)</f>
        <v>107.65620817950474</v>
      </c>
      <c r="N267" s="187">
        <f ca="1">SUM(N265:N266)</f>
        <v>108.05644930635414</v>
      </c>
      <c r="O267" s="187">
        <f ca="1">SUM(O265:O266)</f>
        <v>108.47059481132945</v>
      </c>
      <c r="Q267"/>
      <c r="R267"/>
      <c r="S267"/>
      <c r="T267"/>
      <c r="U267" s="23"/>
      <c r="V267" s="23"/>
      <c r="W267"/>
    </row>
    <row r="268" spans="1:23" ht="12.95" customHeight="1" x14ac:dyDescent="0.25">
      <c r="B268" s="92"/>
      <c r="C268" s="92"/>
      <c r="D268" s="92"/>
      <c r="E268" s="92"/>
      <c r="F268" s="92"/>
      <c r="G268" s="92"/>
      <c r="H268" s="240"/>
      <c r="I268" s="240"/>
      <c r="J268" s="241"/>
      <c r="K268" s="92"/>
      <c r="L268" s="92"/>
      <c r="M268" s="92"/>
      <c r="N268" s="92"/>
      <c r="O268" s="92"/>
      <c r="Q268"/>
      <c r="R268"/>
      <c r="S268"/>
      <c r="T268"/>
      <c r="U268" s="23"/>
      <c r="V268" s="23"/>
      <c r="W268"/>
    </row>
    <row r="269" spans="1:23" ht="12.95" customHeight="1" x14ac:dyDescent="0.25">
      <c r="B269" s="93" t="s">
        <v>143</v>
      </c>
      <c r="C269" s="93"/>
      <c r="D269" s="93"/>
      <c r="E269" s="93"/>
      <c r="F269" s="93"/>
      <c r="G269" s="93"/>
      <c r="H269" s="136"/>
      <c r="I269" s="136"/>
      <c r="J269" s="237"/>
      <c r="K269" s="111">
        <f ca="1">+K135+K136</f>
        <v>11.111880686976447</v>
      </c>
      <c r="L269" s="111">
        <f t="shared" ref="L269:O269" ca="1" si="54">+L135+L136</f>
        <v>11.945271738499681</v>
      </c>
      <c r="M269" s="111">
        <f t="shared" ca="1" si="54"/>
        <v>12.871030298233407</v>
      </c>
      <c r="N269" s="111">
        <f t="shared" ca="1" si="54"/>
        <v>13.900712722092081</v>
      </c>
      <c r="O269" s="111">
        <f t="shared" ca="1" si="54"/>
        <v>15.047521521664677</v>
      </c>
      <c r="Q269"/>
      <c r="R269"/>
      <c r="S269"/>
      <c r="T269"/>
      <c r="U269" s="23"/>
      <c r="V269" s="23"/>
      <c r="W269"/>
    </row>
    <row r="270" spans="1:23" ht="12.95" customHeight="1" x14ac:dyDescent="0.25">
      <c r="B270" s="93" t="s">
        <v>142</v>
      </c>
      <c r="C270" s="93"/>
      <c r="D270" s="93"/>
      <c r="E270" s="93"/>
      <c r="F270" s="93"/>
      <c r="G270" s="93"/>
      <c r="H270" s="136"/>
      <c r="I270" s="136"/>
      <c r="J270" s="237"/>
      <c r="K270" s="111">
        <f>-K138</f>
        <v>-5</v>
      </c>
      <c r="L270" s="111">
        <f t="shared" ref="L270:O270" si="55">-L138</f>
        <v>-5</v>
      </c>
      <c r="M270" s="111">
        <f t="shared" si="55"/>
        <v>-5</v>
      </c>
      <c r="N270" s="111">
        <f t="shared" si="55"/>
        <v>-5</v>
      </c>
      <c r="O270" s="111">
        <f t="shared" si="55"/>
        <v>-5</v>
      </c>
      <c r="Q270"/>
      <c r="R270"/>
      <c r="S270"/>
      <c r="T270"/>
      <c r="U270" s="23"/>
      <c r="V270" s="23"/>
      <c r="W270"/>
    </row>
    <row r="271" spans="1:23" ht="12.95" customHeight="1" x14ac:dyDescent="0.25">
      <c r="B271" s="183" t="s">
        <v>144</v>
      </c>
      <c r="C271" s="183"/>
      <c r="D271" s="183"/>
      <c r="E271" s="183"/>
      <c r="F271" s="183"/>
      <c r="G271" s="183"/>
      <c r="H271" s="149"/>
      <c r="I271" s="149"/>
      <c r="J271" s="242"/>
      <c r="K271" s="184">
        <f ca="1">SUM(K269:K270)</f>
        <v>6.1118806869764466</v>
      </c>
      <c r="L271" s="184">
        <f ca="1">SUM(L269:L270)</f>
        <v>6.9452717384996809</v>
      </c>
      <c r="M271" s="184">
        <f ca="1">SUM(M269:M270)</f>
        <v>7.8710302982334071</v>
      </c>
      <c r="N271" s="184">
        <f ca="1">SUM(N269:N270)</f>
        <v>8.9007127220920808</v>
      </c>
      <c r="O271" s="184">
        <f ca="1">SUM(O269:O270)</f>
        <v>10.047521521664677</v>
      </c>
      <c r="Q271"/>
      <c r="R271"/>
      <c r="S271"/>
      <c r="T271"/>
      <c r="U271" s="23"/>
      <c r="V271" s="23"/>
      <c r="W271"/>
    </row>
    <row r="272" spans="1:23" ht="12.95" customHeight="1" x14ac:dyDescent="0.25">
      <c r="B272" s="92"/>
      <c r="C272" s="92"/>
      <c r="D272" s="92"/>
      <c r="E272" s="92"/>
      <c r="F272" s="92"/>
      <c r="G272" s="92"/>
      <c r="H272" s="240"/>
      <c r="I272" s="240"/>
      <c r="J272" s="241"/>
      <c r="K272" s="92"/>
      <c r="L272" s="92"/>
      <c r="M272" s="92"/>
      <c r="N272" s="92"/>
      <c r="O272" s="92"/>
      <c r="Q272"/>
      <c r="R272"/>
      <c r="S272"/>
      <c r="T272"/>
      <c r="U272" s="23"/>
      <c r="V272" s="23"/>
      <c r="W272"/>
    </row>
    <row r="273" spans="2:23" ht="12.95" customHeight="1" x14ac:dyDescent="0.25">
      <c r="B273" s="93" t="s">
        <v>145</v>
      </c>
      <c r="C273" s="93"/>
      <c r="D273" s="93"/>
      <c r="E273" s="93"/>
      <c r="F273" s="93"/>
      <c r="G273" s="93"/>
      <c r="H273" s="136"/>
      <c r="I273" s="136"/>
      <c r="J273" s="237"/>
      <c r="K273" s="111">
        <f t="shared" ref="K273:O274" ca="1" si="56">+K269/K$279</f>
        <v>0.63425222746797372</v>
      </c>
      <c r="L273" s="111">
        <f t="shared" ca="1" si="56"/>
        <v>0.63209808635088527</v>
      </c>
      <c r="M273" s="111">
        <f t="shared" ca="1" si="56"/>
        <v>0.62903534558126462</v>
      </c>
      <c r="N273" s="111">
        <f t="shared" ca="1" si="56"/>
        <v>0.62507768732841207</v>
      </c>
      <c r="O273" s="111">
        <f t="shared" ca="1" si="56"/>
        <v>0.62023887042983061</v>
      </c>
      <c r="Q273"/>
      <c r="R273"/>
      <c r="S273"/>
      <c r="T273"/>
      <c r="U273" s="23"/>
      <c r="V273" s="23"/>
      <c r="W273"/>
    </row>
    <row r="274" spans="2:23" ht="12.95" customHeight="1" x14ac:dyDescent="0.25">
      <c r="B274" s="93" t="s">
        <v>146</v>
      </c>
      <c r="C274" s="93"/>
      <c r="D274" s="93"/>
      <c r="E274" s="93"/>
      <c r="F274" s="93"/>
      <c r="G274" s="93"/>
      <c r="H274" s="136"/>
      <c r="I274" s="136"/>
      <c r="J274" s="237"/>
      <c r="K274" s="111">
        <f t="shared" si="56"/>
        <v>-0.28539373546880403</v>
      </c>
      <c r="L274" s="111">
        <f t="shared" si="56"/>
        <v>-0.26458087358265342</v>
      </c>
      <c r="M274" s="111">
        <f t="shared" si="56"/>
        <v>-0.24436091400841542</v>
      </c>
      <c r="N274" s="111">
        <f t="shared" si="56"/>
        <v>-0.22483656047901435</v>
      </c>
      <c r="O274" s="111">
        <f t="shared" si="56"/>
        <v>-0.20609336545451731</v>
      </c>
      <c r="Q274"/>
      <c r="R274"/>
      <c r="S274"/>
      <c r="T274"/>
      <c r="U274" s="23"/>
      <c r="V274" s="23"/>
      <c r="W274"/>
    </row>
    <row r="275" spans="2:23" ht="12.95" customHeight="1" x14ac:dyDescent="0.25">
      <c r="B275" s="183" t="s">
        <v>144</v>
      </c>
      <c r="C275" s="183"/>
      <c r="D275" s="183"/>
      <c r="E275" s="183"/>
      <c r="F275" s="183"/>
      <c r="G275" s="183"/>
      <c r="H275" s="238"/>
      <c r="I275" s="238"/>
      <c r="J275" s="239"/>
      <c r="K275" s="187">
        <f ca="1">SUM(K273:K274)</f>
        <v>0.34885849199916968</v>
      </c>
      <c r="L275" s="187">
        <f ca="1">SUM(L273:L274)</f>
        <v>0.36751721276823185</v>
      </c>
      <c r="M275" s="187">
        <f ca="1">SUM(M273:M274)</f>
        <v>0.3846744315728492</v>
      </c>
      <c r="N275" s="187">
        <f ca="1">SUM(N273:N274)</f>
        <v>0.40024112684939772</v>
      </c>
      <c r="O275" s="187">
        <f ca="1">SUM(O273:O274)</f>
        <v>0.41414550497531333</v>
      </c>
      <c r="Q275"/>
      <c r="R275"/>
      <c r="S275"/>
      <c r="T275"/>
      <c r="U275" s="23"/>
      <c r="V275" s="23"/>
      <c r="W275"/>
    </row>
    <row r="276" spans="2:23" ht="12.95" customHeight="1" x14ac:dyDescent="0.25">
      <c r="B276" s="92"/>
      <c r="C276" s="92"/>
      <c r="D276" s="92"/>
      <c r="E276" s="92"/>
      <c r="F276" s="92"/>
      <c r="G276" s="92"/>
      <c r="H276" s="240"/>
      <c r="I276" s="240"/>
      <c r="J276" s="241"/>
      <c r="K276" s="92"/>
      <c r="L276" s="92"/>
      <c r="M276" s="92"/>
      <c r="N276" s="92"/>
      <c r="O276" s="92"/>
      <c r="Q276"/>
      <c r="R276"/>
      <c r="S276"/>
      <c r="T276"/>
      <c r="U276" s="23"/>
      <c r="V276" s="23"/>
      <c r="W276"/>
    </row>
    <row r="277" spans="2:23" ht="12.95" customHeight="1" x14ac:dyDescent="0.25">
      <c r="B277" s="93" t="s">
        <v>108</v>
      </c>
      <c r="C277" s="93"/>
      <c r="D277" s="93"/>
      <c r="E277" s="93"/>
      <c r="F277" s="93"/>
      <c r="G277" s="93"/>
      <c r="H277" s="243"/>
      <c r="I277" s="243"/>
      <c r="J277" s="244"/>
      <c r="K277" s="252">
        <v>1.7519655754835384</v>
      </c>
      <c r="L277" s="252">
        <v>1.8897813482492836</v>
      </c>
      <c r="M277" s="252">
        <v>2.0461537477420828</v>
      </c>
      <c r="N277" s="252">
        <v>2.2238376131299549</v>
      </c>
      <c r="O277" s="252">
        <v>2.4260848906868127</v>
      </c>
      <c r="Q277"/>
      <c r="R277"/>
      <c r="S277"/>
      <c r="T277"/>
      <c r="U277" s="23"/>
      <c r="V277" s="23"/>
      <c r="W277"/>
    </row>
    <row r="278" spans="2:23" ht="12.95" customHeight="1" x14ac:dyDescent="0.25">
      <c r="B278" s="93" t="s">
        <v>147</v>
      </c>
      <c r="C278" s="93"/>
      <c r="D278" s="93"/>
      <c r="E278" s="93"/>
      <c r="F278" s="93"/>
      <c r="G278" s="93"/>
      <c r="H278" s="245"/>
      <c r="I278" s="245"/>
      <c r="J278" s="246"/>
      <c r="K278" s="112">
        <v>10</v>
      </c>
      <c r="L278" s="185">
        <f>+K278</f>
        <v>10</v>
      </c>
      <c r="M278" s="185">
        <f>+L278</f>
        <v>10</v>
      </c>
      <c r="N278" s="185">
        <f>+M278</f>
        <v>10</v>
      </c>
      <c r="O278" s="185">
        <f>+N278</f>
        <v>10</v>
      </c>
      <c r="Q278"/>
      <c r="R278"/>
      <c r="S278"/>
      <c r="T278"/>
      <c r="U278" s="23"/>
      <c r="V278" s="23"/>
      <c r="W278"/>
    </row>
    <row r="279" spans="2:23" s="21" customFormat="1" ht="12.95" customHeight="1" x14ac:dyDescent="0.25">
      <c r="B279" s="183" t="s">
        <v>148</v>
      </c>
      <c r="C279" s="183"/>
      <c r="D279" s="183"/>
      <c r="E279" s="183"/>
      <c r="F279" s="183"/>
      <c r="G279" s="183"/>
      <c r="H279" s="247"/>
      <c r="I279" s="247"/>
      <c r="J279" s="248"/>
      <c r="K279" s="186">
        <f>+K277*K278</f>
        <v>17.519655754835384</v>
      </c>
      <c r="L279" s="186">
        <f>+L277*L278</f>
        <v>18.897813482492836</v>
      </c>
      <c r="M279" s="186">
        <f>+M277*M278</f>
        <v>20.461537477420826</v>
      </c>
      <c r="N279" s="186">
        <f>+N277*N278</f>
        <v>22.23837613129955</v>
      </c>
      <c r="O279" s="186">
        <f>+O277*O278</f>
        <v>24.260848906868127</v>
      </c>
      <c r="Q279"/>
      <c r="R279"/>
      <c r="S279"/>
      <c r="T279"/>
      <c r="U279" s="23"/>
      <c r="V279" s="23"/>
      <c r="W279"/>
    </row>
    <row r="280" spans="2:23" s="21" customFormat="1" ht="12.95" customHeight="1" x14ac:dyDescent="0.25">
      <c r="B280" s="92"/>
      <c r="C280" s="92"/>
      <c r="D280" s="92"/>
      <c r="E280" s="92"/>
      <c r="F280" s="92"/>
      <c r="G280" s="92"/>
      <c r="H280" s="249"/>
      <c r="I280" s="249"/>
      <c r="J280" s="250"/>
      <c r="K280" s="188"/>
      <c r="L280" s="188"/>
      <c r="M280" s="188"/>
      <c r="N280" s="188"/>
      <c r="O280" s="188"/>
      <c r="Q280"/>
      <c r="R280"/>
      <c r="S280"/>
      <c r="T280"/>
      <c r="U280" s="23"/>
      <c r="V280" s="23"/>
      <c r="W280"/>
    </row>
    <row r="281" spans="2:23" s="21" customFormat="1" ht="12.95" customHeight="1" x14ac:dyDescent="0.25">
      <c r="B281" s="254" t="s">
        <v>157</v>
      </c>
      <c r="C281" s="92"/>
      <c r="D281" s="92"/>
      <c r="E281" s="92"/>
      <c r="F281" s="92"/>
      <c r="G281" s="92"/>
      <c r="H281" s="249"/>
      <c r="I281" s="249"/>
      <c r="J281" s="250"/>
      <c r="K281" s="188"/>
      <c r="L281" s="188"/>
      <c r="M281" s="188"/>
      <c r="N281" s="188"/>
      <c r="O281" s="188"/>
      <c r="Q281"/>
      <c r="R281"/>
      <c r="S281"/>
      <c r="T281"/>
      <c r="U281" s="23"/>
      <c r="V281" s="23"/>
      <c r="W281"/>
    </row>
    <row r="282" spans="2:23" s="21" customFormat="1" ht="12.95" customHeight="1" x14ac:dyDescent="0.25">
      <c r="B282" s="93" t="s">
        <v>149</v>
      </c>
      <c r="C282" s="92"/>
      <c r="D282" s="92"/>
      <c r="E282" s="92"/>
      <c r="F282" s="92"/>
      <c r="G282" s="92"/>
      <c r="H282" s="226"/>
      <c r="I282" s="136"/>
      <c r="J282" s="237"/>
      <c r="K282" s="111">
        <f>+J265</f>
        <v>101.5551580431645</v>
      </c>
      <c r="L282" s="111">
        <f ca="1">+K284</f>
        <v>101.90401653516366</v>
      </c>
      <c r="M282" s="111">
        <f ca="1">+L284</f>
        <v>102.2715337479319</v>
      </c>
      <c r="N282" s="111">
        <f ca="1">+M284</f>
        <v>102.65620817950474</v>
      </c>
      <c r="O282" s="111">
        <f ca="1">+N284</f>
        <v>103.05644930635414</v>
      </c>
      <c r="Q282"/>
      <c r="R282"/>
      <c r="S282"/>
      <c r="T282"/>
      <c r="U282" s="23"/>
      <c r="V282" s="23"/>
      <c r="W282"/>
    </row>
    <row r="283" spans="2:23" ht="12.95" customHeight="1" x14ac:dyDescent="0.25">
      <c r="B283" s="20" t="str">
        <f>+B275</f>
        <v>Net Shares Issued / (Repurchased)</v>
      </c>
      <c r="C283" s="20"/>
      <c r="D283" s="20"/>
      <c r="E283" s="20"/>
      <c r="F283" s="20"/>
      <c r="G283" s="20"/>
      <c r="H283" s="140"/>
      <c r="I283" s="140"/>
      <c r="J283" s="122"/>
      <c r="K283" s="77">
        <f ca="1">+K275</f>
        <v>0.34885849199916968</v>
      </c>
      <c r="L283" s="77">
        <f ca="1">+L275</f>
        <v>0.36751721276823185</v>
      </c>
      <c r="M283" s="77">
        <f ca="1">+M275</f>
        <v>0.3846744315728492</v>
      </c>
      <c r="N283" s="77">
        <f ca="1">+N275</f>
        <v>0.40024112684939772</v>
      </c>
      <c r="O283" s="77">
        <f ca="1">+O275</f>
        <v>0.41414550497531333</v>
      </c>
      <c r="Q283"/>
      <c r="R283"/>
      <c r="S283"/>
      <c r="T283"/>
      <c r="U283" s="23"/>
      <c r="V283" s="23"/>
      <c r="W283"/>
    </row>
    <row r="284" spans="2:23" s="21" customFormat="1" ht="12.95" customHeight="1" x14ac:dyDescent="0.25">
      <c r="B284" s="92" t="s">
        <v>150</v>
      </c>
      <c r="C284" s="92"/>
      <c r="D284" s="92"/>
      <c r="E284" s="92"/>
      <c r="F284" s="92"/>
      <c r="G284" s="92"/>
      <c r="H284" s="142"/>
      <c r="I284" s="142"/>
      <c r="J284" s="141"/>
      <c r="K284" s="189">
        <f ca="1">SUM(K282:K283)</f>
        <v>101.90401653516366</v>
      </c>
      <c r="L284" s="189">
        <f ca="1">SUM(L282:L283)</f>
        <v>102.2715337479319</v>
      </c>
      <c r="M284" s="189">
        <f ca="1">SUM(M282:M283)</f>
        <v>102.65620817950474</v>
      </c>
      <c r="N284" s="189">
        <f ca="1">SUM(N282:N283)</f>
        <v>103.05644930635414</v>
      </c>
      <c r="O284" s="189">
        <f ca="1">SUM(O282:O283)</f>
        <v>103.47059481132945</v>
      </c>
      <c r="Q284"/>
      <c r="R284"/>
      <c r="S284"/>
      <c r="T284"/>
      <c r="U284" s="23"/>
      <c r="V284" s="23"/>
      <c r="W284"/>
    </row>
    <row r="285" spans="2:23" ht="12.95" customHeight="1" x14ac:dyDescent="0.25">
      <c r="Q285"/>
      <c r="R285"/>
      <c r="S285"/>
      <c r="T285"/>
    </row>
    <row r="286" spans="2:23" ht="12.95" customHeight="1" x14ac:dyDescent="0.25">
      <c r="B286" s="26" t="s">
        <v>311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0"/>
      <c r="Q286"/>
      <c r="R286"/>
      <c r="S286"/>
      <c r="T286"/>
    </row>
    <row r="287" spans="2:23" ht="12.95" customHeight="1" x14ac:dyDescent="0.2">
      <c r="H287" s="23"/>
      <c r="I287" s="23"/>
      <c r="J287" s="23"/>
      <c r="P287" s="93"/>
      <c r="Q287" s="93"/>
      <c r="R287" s="93"/>
    </row>
    <row r="288" spans="2:23" ht="12.95" customHeight="1" x14ac:dyDescent="0.2">
      <c r="B288" s="362" t="s">
        <v>360</v>
      </c>
      <c r="C288" s="363"/>
      <c r="D288" s="363"/>
      <c r="E288" s="363"/>
      <c r="F288" s="363"/>
      <c r="G288" s="363"/>
      <c r="H288" s="363"/>
      <c r="I288" s="363"/>
      <c r="J288" s="363"/>
      <c r="K288" s="363"/>
      <c r="L288" s="363"/>
      <c r="M288" s="363"/>
      <c r="N288" s="363"/>
      <c r="O288" s="363"/>
      <c r="P288" s="367"/>
      <c r="Q288" s="367"/>
      <c r="R288" s="93"/>
    </row>
    <row r="289" spans="2:18" ht="12.95" customHeight="1" x14ac:dyDescent="0.2">
      <c r="B289" s="81" t="s">
        <v>332</v>
      </c>
      <c r="C289" s="81"/>
      <c r="D289" s="81"/>
      <c r="E289" s="81"/>
      <c r="F289" s="81"/>
      <c r="G289" s="81"/>
      <c r="H289" s="81"/>
      <c r="I289" s="81"/>
      <c r="J289" s="81"/>
      <c r="K289" s="364">
        <v>8.2500000000000059E-2</v>
      </c>
      <c r="L289" s="364">
        <v>8.5000000000000062E-2</v>
      </c>
      <c r="M289" s="364">
        <v>8.7500000000000064E-2</v>
      </c>
      <c r="N289" s="364">
        <v>9.0000000000000066E-2</v>
      </c>
      <c r="O289" s="364">
        <v>9.2500000000000068E-2</v>
      </c>
      <c r="P289" s="93"/>
      <c r="Q289" s="93"/>
      <c r="R289" s="93"/>
    </row>
    <row r="290" spans="2:18" ht="12.95" customHeight="1" x14ac:dyDescent="0.2">
      <c r="B290" s="81" t="s">
        <v>104</v>
      </c>
      <c r="C290" s="81"/>
      <c r="D290" s="81"/>
      <c r="E290" s="81"/>
      <c r="F290" s="81"/>
      <c r="G290" s="81"/>
      <c r="H290" s="81"/>
      <c r="I290" s="81"/>
      <c r="J290" s="81"/>
      <c r="K290" s="364">
        <v>7.2500000000000064E-2</v>
      </c>
      <c r="L290" s="364">
        <v>7.5000000000000067E-2</v>
      </c>
      <c r="M290" s="364">
        <v>7.7500000000000069E-2</v>
      </c>
      <c r="N290" s="364">
        <v>8.0000000000000071E-2</v>
      </c>
      <c r="O290" s="364">
        <v>8.2500000000000073E-2</v>
      </c>
      <c r="P290" s="93"/>
      <c r="Q290" s="93"/>
      <c r="R290" s="93"/>
    </row>
    <row r="291" spans="2:18" ht="12.95" customHeight="1" x14ac:dyDescent="0.2">
      <c r="B291" s="363" t="s">
        <v>333</v>
      </c>
      <c r="C291" s="363"/>
      <c r="D291" s="363"/>
      <c r="E291" s="363"/>
      <c r="F291" s="363"/>
      <c r="G291" s="363"/>
      <c r="H291" s="363"/>
      <c r="I291" s="363"/>
      <c r="J291" s="363"/>
      <c r="K291" s="365">
        <v>6.2500000000000069E-2</v>
      </c>
      <c r="L291" s="365">
        <v>6.5000000000000072E-2</v>
      </c>
      <c r="M291" s="365">
        <v>6.7500000000000074E-2</v>
      </c>
      <c r="N291" s="365">
        <v>7.0000000000000076E-2</v>
      </c>
      <c r="O291" s="365">
        <v>7.2500000000000078E-2</v>
      </c>
      <c r="P291" s="93"/>
      <c r="Q291" s="93"/>
      <c r="R291" s="93"/>
    </row>
    <row r="292" spans="2:18" ht="12.95" customHeight="1" x14ac:dyDescent="0.2">
      <c r="B292" s="362" t="str">
        <f ca="1">+OFFSET(B288,$D$10,0)</f>
        <v>Mid (Base) Case</v>
      </c>
      <c r="C292" s="363"/>
      <c r="D292" s="363"/>
      <c r="E292" s="363"/>
      <c r="F292" s="363"/>
      <c r="G292" s="363"/>
      <c r="H292" s="363"/>
      <c r="I292" s="363"/>
      <c r="J292" s="363"/>
      <c r="K292" s="368">
        <f ca="1">+OFFSET(K288,$D$10,0)</f>
        <v>7.2500000000000064E-2</v>
      </c>
      <c r="L292" s="368">
        <f t="shared" ref="L292:O292" ca="1" si="57">+OFFSET(L288,$D$10,0)</f>
        <v>7.5000000000000067E-2</v>
      </c>
      <c r="M292" s="368">
        <f t="shared" ca="1" si="57"/>
        <v>7.7500000000000069E-2</v>
      </c>
      <c r="N292" s="368">
        <f t="shared" ca="1" si="57"/>
        <v>8.0000000000000071E-2</v>
      </c>
      <c r="O292" s="368">
        <f t="shared" ca="1" si="57"/>
        <v>8.2500000000000073E-2</v>
      </c>
      <c r="P292" s="93"/>
      <c r="Q292" s="93"/>
      <c r="R292" s="93"/>
    </row>
    <row r="293" spans="2:18" ht="12.95" customHeight="1" x14ac:dyDescent="0.2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8" ht="12.95" customHeight="1" x14ac:dyDescent="0.2">
      <c r="B294" s="362" t="s">
        <v>45</v>
      </c>
      <c r="C294" s="363"/>
      <c r="D294" s="363"/>
      <c r="E294" s="363"/>
      <c r="F294" s="363"/>
      <c r="G294" s="363"/>
      <c r="H294" s="363"/>
      <c r="I294" s="363"/>
      <c r="J294" s="363"/>
      <c r="K294" s="363"/>
      <c r="L294" s="363"/>
      <c r="M294" s="363"/>
      <c r="N294" s="363"/>
      <c r="O294" s="363"/>
    </row>
    <row r="295" spans="2:18" ht="12.95" customHeight="1" x14ac:dyDescent="0.2">
      <c r="B295" s="81" t="s">
        <v>332</v>
      </c>
      <c r="C295" s="81"/>
      <c r="D295" s="81"/>
      <c r="E295" s="81"/>
      <c r="F295" s="81"/>
      <c r="G295" s="81"/>
      <c r="H295" s="81"/>
      <c r="I295" s="81"/>
      <c r="J295" s="81"/>
      <c r="K295" s="364">
        <v>0.45150000000000001</v>
      </c>
      <c r="L295" s="364">
        <v>0.45350000000000001</v>
      </c>
      <c r="M295" s="364">
        <v>0.45550000000000002</v>
      </c>
      <c r="N295" s="364">
        <v>0.45750000000000002</v>
      </c>
      <c r="O295" s="364">
        <v>0.45950000000000002</v>
      </c>
    </row>
    <row r="296" spans="2:18" ht="12.95" customHeight="1" x14ac:dyDescent="0.2">
      <c r="B296" s="81" t="s">
        <v>104</v>
      </c>
      <c r="C296" s="81"/>
      <c r="D296" s="81"/>
      <c r="E296" s="81"/>
      <c r="F296" s="81"/>
      <c r="G296" s="81"/>
      <c r="H296" s="81"/>
      <c r="I296" s="81"/>
      <c r="J296" s="81"/>
      <c r="K296" s="364">
        <v>0.44400000000000001</v>
      </c>
      <c r="L296" s="364">
        <v>0.44600000000000001</v>
      </c>
      <c r="M296" s="364">
        <v>0.44800000000000001</v>
      </c>
      <c r="N296" s="364">
        <v>0.45</v>
      </c>
      <c r="O296" s="364">
        <v>0.45200000000000001</v>
      </c>
    </row>
    <row r="297" spans="2:18" ht="12.95" customHeight="1" x14ac:dyDescent="0.2">
      <c r="B297" s="363" t="s">
        <v>333</v>
      </c>
      <c r="C297" s="363"/>
      <c r="D297" s="363"/>
      <c r="E297" s="363"/>
      <c r="F297" s="363"/>
      <c r="G297" s="363"/>
      <c r="H297" s="363"/>
      <c r="I297" s="363"/>
      <c r="J297" s="363"/>
      <c r="K297" s="365">
        <v>0.4365</v>
      </c>
      <c r="L297" s="365">
        <v>0.4385</v>
      </c>
      <c r="M297" s="365">
        <v>0.4405</v>
      </c>
      <c r="N297" s="365">
        <v>0.4425</v>
      </c>
      <c r="O297" s="365">
        <v>0.44450000000000001</v>
      </c>
    </row>
    <row r="298" spans="2:18" ht="12.95" customHeight="1" x14ac:dyDescent="0.2">
      <c r="B298" s="362" t="str">
        <f ca="1">+OFFSET(B294,$D$10,0)</f>
        <v>Mid (Base) Case</v>
      </c>
      <c r="C298" s="363"/>
      <c r="D298" s="363"/>
      <c r="E298" s="363"/>
      <c r="F298" s="363"/>
      <c r="G298" s="363"/>
      <c r="H298" s="363"/>
      <c r="I298" s="363"/>
      <c r="J298" s="363"/>
      <c r="K298" s="368">
        <f ca="1">+OFFSET(K294,$D$10,0)</f>
        <v>0.44400000000000001</v>
      </c>
      <c r="L298" s="368">
        <f t="shared" ref="L298:O298" ca="1" si="58">+OFFSET(L294,$D$10,0)</f>
        <v>0.44600000000000001</v>
      </c>
      <c r="M298" s="368">
        <f t="shared" ca="1" si="58"/>
        <v>0.44800000000000001</v>
      </c>
      <c r="N298" s="368">
        <f t="shared" ca="1" si="58"/>
        <v>0.45</v>
      </c>
      <c r="O298" s="368">
        <f t="shared" ca="1" si="58"/>
        <v>0.45200000000000001</v>
      </c>
    </row>
    <row r="299" spans="2:18" ht="12.95" customHeight="1" x14ac:dyDescent="0.2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8" ht="12.95" customHeight="1" x14ac:dyDescent="0.2">
      <c r="B300" s="362" t="s">
        <v>361</v>
      </c>
      <c r="C300" s="363"/>
      <c r="D300" s="363"/>
      <c r="E300" s="363"/>
      <c r="F300" s="363"/>
      <c r="G300" s="363"/>
      <c r="H300" s="363"/>
      <c r="I300" s="363"/>
      <c r="J300" s="363"/>
      <c r="K300" s="363"/>
      <c r="L300" s="363"/>
      <c r="M300" s="363"/>
      <c r="N300" s="363"/>
      <c r="O300" s="363"/>
    </row>
    <row r="301" spans="2:18" ht="12.95" customHeight="1" x14ac:dyDescent="0.2">
      <c r="B301" s="81" t="s">
        <v>332</v>
      </c>
      <c r="C301" s="81"/>
      <c r="D301" s="81"/>
      <c r="E301" s="81"/>
      <c r="F301" s="81"/>
      <c r="G301" s="81"/>
      <c r="H301" s="81"/>
      <c r="I301" s="81"/>
      <c r="J301" s="81"/>
      <c r="K301" s="364">
        <v>0.26800000000000002</v>
      </c>
      <c r="L301" s="364">
        <v>0.26650000000000001</v>
      </c>
      <c r="M301" s="364">
        <v>0.26500000000000001</v>
      </c>
      <c r="N301" s="364">
        <v>0.26350000000000001</v>
      </c>
      <c r="O301" s="364">
        <v>0.26200000000000001</v>
      </c>
    </row>
    <row r="302" spans="2:18" ht="12.95" customHeight="1" x14ac:dyDescent="0.2">
      <c r="B302" s="81" t="s">
        <v>104</v>
      </c>
      <c r="C302" s="81"/>
      <c r="D302" s="81"/>
      <c r="E302" s="81"/>
      <c r="F302" s="81"/>
      <c r="G302" s="81"/>
      <c r="H302" s="81"/>
      <c r="I302" s="81"/>
      <c r="J302" s="81"/>
      <c r="K302" s="364">
        <v>0.27300000000000002</v>
      </c>
      <c r="L302" s="364">
        <v>0.27150000000000002</v>
      </c>
      <c r="M302" s="364">
        <v>0.27</v>
      </c>
      <c r="N302" s="364">
        <v>0.26850000000000002</v>
      </c>
      <c r="O302" s="364">
        <v>0.26700000000000002</v>
      </c>
    </row>
    <row r="303" spans="2:18" ht="12.95" customHeight="1" x14ac:dyDescent="0.2">
      <c r="B303" s="363" t="s">
        <v>333</v>
      </c>
      <c r="C303" s="363"/>
      <c r="D303" s="363"/>
      <c r="E303" s="363"/>
      <c r="F303" s="363"/>
      <c r="G303" s="363"/>
      <c r="H303" s="363"/>
      <c r="I303" s="363"/>
      <c r="J303" s="363"/>
      <c r="K303" s="365">
        <v>0.27800000000000002</v>
      </c>
      <c r="L303" s="365">
        <v>0.27650000000000002</v>
      </c>
      <c r="M303" s="365">
        <v>0.27500000000000002</v>
      </c>
      <c r="N303" s="365">
        <v>0.27350000000000002</v>
      </c>
      <c r="O303" s="365">
        <v>0.27200000000000002</v>
      </c>
    </row>
    <row r="304" spans="2:18" ht="12.95" customHeight="1" x14ac:dyDescent="0.2">
      <c r="B304" s="362" t="str">
        <f ca="1">+OFFSET(B300,$D$10,0)</f>
        <v>Mid (Base) Case</v>
      </c>
      <c r="C304" s="363"/>
      <c r="D304" s="363"/>
      <c r="E304" s="363"/>
      <c r="F304" s="363"/>
      <c r="G304" s="363"/>
      <c r="H304" s="363"/>
      <c r="I304" s="363"/>
      <c r="J304" s="363"/>
      <c r="K304" s="368">
        <f ca="1">+OFFSET(K300,$D$10,0)</f>
        <v>0.27300000000000002</v>
      </c>
      <c r="L304" s="368">
        <f t="shared" ref="L304:O304" ca="1" si="59">+OFFSET(L300,$D$10,0)</f>
        <v>0.27150000000000002</v>
      </c>
      <c r="M304" s="368">
        <f t="shared" ca="1" si="59"/>
        <v>0.27</v>
      </c>
      <c r="N304" s="368">
        <f t="shared" ca="1" si="59"/>
        <v>0.26850000000000002</v>
      </c>
      <c r="O304" s="368">
        <f t="shared" ca="1" si="59"/>
        <v>0.26700000000000002</v>
      </c>
    </row>
  </sheetData>
  <conditionalFormatting sqref="A276:A285 A259:A272 A141:A257 A1:A133 A295:A1048576">
    <cfRule type="expression" dxfId="4" priority="5">
      <formula>$D$18&gt;0</formula>
    </cfRule>
  </conditionalFormatting>
  <conditionalFormatting sqref="A258">
    <cfRule type="expression" dxfId="3" priority="4">
      <formula>$D$18&gt;0</formula>
    </cfRule>
  </conditionalFormatting>
  <conditionalFormatting sqref="A273:A275">
    <cfRule type="expression" dxfId="2" priority="3">
      <formula>$D$18&gt;0</formula>
    </cfRule>
  </conditionalFormatting>
  <conditionalFormatting sqref="A134:A138 A140">
    <cfRule type="expression" dxfId="1" priority="2">
      <formula>$D$18&gt;0</formula>
    </cfRule>
  </conditionalFormatting>
  <conditionalFormatting sqref="A139">
    <cfRule type="expression" dxfId="0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6" manualBreakCount="6">
    <brk id="58" min="1" max="14" man="1"/>
    <brk id="97" min="1" max="14" man="1"/>
    <brk id="161" min="1" max="14" man="1"/>
    <brk id="196" min="1" max="14" man="1"/>
    <brk id="222" min="1" max="14" man="1"/>
    <brk id="284" min="1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A08FC-5523-4575-9CBD-51EDA27B91A3}">
  <dimension ref="B2:B12"/>
  <sheetViews>
    <sheetView showGridLines="0" zoomScale="160" zoomScaleNormal="160" workbookViewId="0">
      <selection activeCell="C13" sqref="C13"/>
    </sheetView>
  </sheetViews>
  <sheetFormatPr defaultRowHeight="15" outlineLevelRow="1" x14ac:dyDescent="0.25"/>
  <cols>
    <col min="1" max="1" width="3.7109375" customWidth="1"/>
  </cols>
  <sheetData>
    <row r="2" spans="2:2" hidden="1" outlineLevel="1" x14ac:dyDescent="0.25">
      <c r="B2" s="440" t="s">
        <v>384</v>
      </c>
    </row>
    <row r="3" spans="2:2" hidden="1" outlineLevel="1" x14ac:dyDescent="0.25">
      <c r="B3" t="s">
        <v>391</v>
      </c>
    </row>
    <row r="4" spans="2:2" hidden="1" outlineLevel="1" x14ac:dyDescent="0.25">
      <c r="B4" t="s">
        <v>392</v>
      </c>
    </row>
    <row r="5" spans="2:2" hidden="1" outlineLevel="1" x14ac:dyDescent="0.25">
      <c r="B5" t="s">
        <v>388</v>
      </c>
    </row>
    <row r="6" spans="2:2" hidden="1" outlineLevel="1" x14ac:dyDescent="0.25"/>
    <row r="7" spans="2:2" hidden="1" outlineLevel="1" x14ac:dyDescent="0.25">
      <c r="B7" s="440" t="s">
        <v>385</v>
      </c>
    </row>
    <row r="8" spans="2:2" hidden="1" outlineLevel="1" x14ac:dyDescent="0.25">
      <c r="B8" t="s">
        <v>390</v>
      </c>
    </row>
    <row r="9" spans="2:2" hidden="1" outlineLevel="1" x14ac:dyDescent="0.25">
      <c r="B9" t="s">
        <v>386</v>
      </c>
    </row>
    <row r="10" spans="2:2" hidden="1" outlineLevel="1" x14ac:dyDescent="0.25">
      <c r="B10" t="s">
        <v>387</v>
      </c>
    </row>
    <row r="11" spans="2:2" hidden="1" outlineLevel="1" x14ac:dyDescent="0.25">
      <c r="B11" t="s">
        <v>389</v>
      </c>
    </row>
    <row r="12" spans="2:2" collapsed="1" x14ac:dyDescent="0.25"/>
  </sheetData>
  <sheetProtection algorithmName="SHA-512" hashValue="DDk/cdcu5mXWRbjdNhn3UtqYIzCCWwvSZBdteC72yUAsNoee9PUgbodvQBuCBP/ekokpdkAFYXa7XfoZJTHewA==" saltValue="BasceIHGn7Iun2yjPr/CZ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7992-7973-4D4C-8768-04C9F037E52D}">
  <dimension ref="A2:X323"/>
  <sheetViews>
    <sheetView showGridLines="0" topLeftCell="A147" zoomScale="115" zoomScaleNormal="115" zoomScaleSheetLayoutView="85" workbookViewId="0">
      <selection activeCell="Q155" sqref="Q155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7" ht="12.95" customHeight="1" x14ac:dyDescent="0.25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/>
      <c r="L83" s="134"/>
      <c r="M83" s="134"/>
      <c r="N83" s="134"/>
      <c r="O83" s="134"/>
      <c r="P83" s="143"/>
      <c r="Q83" s="330"/>
    </row>
    <row r="84" spans="2:17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252.86253381791607</v>
      </c>
      <c r="L84" s="197">
        <f t="shared" si="7"/>
        <v>277.39093896238802</v>
      </c>
      <c r="M84" s="197">
        <f t="shared" si="7"/>
        <v>304.88363976098111</v>
      </c>
      <c r="N84" s="197">
        <f t="shared" si="7"/>
        <v>335.74882621318835</v>
      </c>
      <c r="O84" s="197">
        <f t="shared" si="7"/>
        <v>370.45674550698971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252.86253381791607</v>
      </c>
      <c r="L86" s="145">
        <f t="shared" si="8"/>
        <v>277.39093896238802</v>
      </c>
      <c r="M86" s="145">
        <f t="shared" si="8"/>
        <v>304.88363976098111</v>
      </c>
      <c r="N86" s="145">
        <f t="shared" si="8"/>
        <v>335.74882621318835</v>
      </c>
      <c r="O86" s="145">
        <f t="shared" si="8"/>
        <v>370.45674550698971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7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0.1709999999999999</v>
      </c>
      <c r="L92" s="63">
        <f t="shared" si="9"/>
        <v>0.17449999999999996</v>
      </c>
      <c r="M92" s="63">
        <f t="shared" si="9"/>
        <v>0.17799999999999994</v>
      </c>
      <c r="N92" s="63">
        <f t="shared" si="9"/>
        <v>0.18149999999999994</v>
      </c>
      <c r="O92" s="63">
        <f t="shared" si="9"/>
        <v>0.18499999999999994</v>
      </c>
    </row>
    <row r="93" spans="2:17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5.9473831809484512E-3</v>
      </c>
      <c r="L93" s="63">
        <f t="shared" si="10"/>
        <v>9.700292397660859E-2</v>
      </c>
      <c r="M93" s="63">
        <f t="shared" si="10"/>
        <v>9.911174785100263E-2</v>
      </c>
      <c r="N93" s="63">
        <f t="shared" si="10"/>
        <v>0.10123595505617988</v>
      </c>
      <c r="O93" s="63">
        <f t="shared" si="10"/>
        <v>0.10337465564738291</v>
      </c>
    </row>
    <row r="94" spans="2:17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7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0</v>
      </c>
      <c r="L97" s="76">
        <f t="shared" si="13"/>
        <v>0</v>
      </c>
      <c r="M97" s="76">
        <f t="shared" si="13"/>
        <v>0</v>
      </c>
      <c r="N97" s="76">
        <f t="shared" si="13"/>
        <v>0</v>
      </c>
      <c r="O97" s="76">
        <f t="shared" si="13"/>
        <v>0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/>
      <c r="L104" s="135"/>
      <c r="M104" s="135"/>
      <c r="N104" s="135"/>
      <c r="O104" s="135"/>
      <c r="P104" s="143"/>
      <c r="Q104" s="259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/>
      <c r="L105" s="137"/>
      <c r="M105" s="137"/>
      <c r="N105" s="137"/>
      <c r="O105" s="137"/>
      <c r="P105" s="143"/>
      <c r="Q105" s="259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/>
      <c r="L106" s="140"/>
      <c r="M106" s="140"/>
      <c r="N106" s="140"/>
      <c r="O106" s="140"/>
      <c r="P106" s="143"/>
      <c r="Q106" s="259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/>
      <c r="I107" s="147"/>
      <c r="J107" s="123"/>
      <c r="K107" s="154"/>
      <c r="L107" s="147"/>
      <c r="M107" s="147"/>
      <c r="N107" s="147"/>
      <c r="O107" s="147"/>
      <c r="P107" s="175"/>
      <c r="Q107" s="259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P108" s="143"/>
      <c r="Q108" s="259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5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/>
      <c r="L109" s="136"/>
      <c r="M109" s="136"/>
      <c r="N109" s="136"/>
      <c r="O109" s="136"/>
      <c r="P109" s="143"/>
      <c r="Q109" s="330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/>
      <c r="L110" s="136"/>
      <c r="M110" s="136"/>
      <c r="N110" s="136"/>
      <c r="O110" s="136"/>
      <c r="P110" s="143"/>
      <c r="Q110" s="259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/>
      <c r="L111" s="137"/>
      <c r="M111" s="137"/>
      <c r="N111" s="137"/>
      <c r="O111" s="137"/>
      <c r="P111" s="143"/>
      <c r="Q111" s="259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/>
      <c r="I112" s="145"/>
      <c r="J112" s="146"/>
      <c r="K112" s="145"/>
      <c r="L112" s="145"/>
      <c r="M112" s="145"/>
      <c r="N112" s="145"/>
      <c r="O112" s="145"/>
      <c r="P112" s="144"/>
      <c r="Q112" s="152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P113" s="143"/>
      <c r="Q113" s="259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/>
      <c r="L114" s="137"/>
      <c r="M114" s="137"/>
      <c r="N114" s="137"/>
      <c r="O114" s="137"/>
      <c r="P114" s="143"/>
      <c r="Q114" s="259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/>
      <c r="L115" s="137"/>
      <c r="M115" s="137"/>
      <c r="N115" s="137"/>
      <c r="O115" s="137"/>
      <c r="P115" s="143"/>
      <c r="Q115" s="259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/>
      <c r="L116" s="140"/>
      <c r="M116" s="140"/>
      <c r="N116" s="140"/>
      <c r="O116" s="140"/>
      <c r="P116" s="143"/>
      <c r="Q116" s="259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/>
      <c r="I117" s="147"/>
      <c r="J117" s="148"/>
      <c r="K117" s="149"/>
      <c r="L117" s="147"/>
      <c r="M117" s="147"/>
      <c r="N117" s="147"/>
      <c r="O117" s="147"/>
      <c r="P117" s="143"/>
      <c r="Q117" s="259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/>
      <c r="L119" s="137"/>
      <c r="M119" s="137"/>
      <c r="N119" s="137"/>
      <c r="O119" s="137"/>
      <c r="P119" s="143"/>
      <c r="Q119" s="259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/>
      <c r="I123" s="154"/>
      <c r="J123" s="123"/>
      <c r="K123" s="154"/>
      <c r="L123" s="154"/>
      <c r="M123" s="154"/>
      <c r="N123" s="154"/>
      <c r="O123" s="154"/>
      <c r="P123" s="175"/>
      <c r="Q123" s="259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P124" s="143"/>
      <c r="Q124" s="259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P127" s="143"/>
      <c r="Q127" s="259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/>
      <c r="I128" s="155"/>
      <c r="J128" s="156"/>
      <c r="K128" s="155"/>
      <c r="L128" s="155"/>
      <c r="M128" s="155"/>
      <c r="N128" s="155"/>
      <c r="O128" s="155"/>
      <c r="P128" s="235"/>
      <c r="Q128" s="152"/>
      <c r="R128" s="119"/>
      <c r="S128" s="119"/>
      <c r="T128" s="119"/>
      <c r="U128" s="119"/>
      <c r="V128" s="119"/>
      <c r="W128" s="119"/>
      <c r="X128" s="119"/>
    </row>
    <row r="129" spans="2:17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  <c r="P129" s="143"/>
      <c r="Q129" s="143"/>
    </row>
    <row r="130" spans="2:17" ht="12.95" customHeight="1" outlineLevel="1" x14ac:dyDescent="0.2">
      <c r="B130" s="1" t="s">
        <v>65</v>
      </c>
      <c r="H130" s="137"/>
      <c r="I130" s="137"/>
      <c r="J130" s="157"/>
      <c r="K130" s="136"/>
      <c r="L130" s="137"/>
      <c r="M130" s="137"/>
      <c r="N130" s="137"/>
      <c r="O130" s="137"/>
      <c r="P130" s="143"/>
      <c r="Q130" s="152"/>
    </row>
    <row r="131" spans="2:17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7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7" ht="12.95" customHeight="1" outlineLevel="1" x14ac:dyDescent="0.2">
      <c r="B133" s="1" t="str">
        <f>+B64</f>
        <v>Revenue</v>
      </c>
      <c r="H133" s="137">
        <f t="shared" ref="H133:O133" si="14">+H64</f>
        <v>1209.9228781500001</v>
      </c>
      <c r="I133" s="137">
        <f t="shared" si="14"/>
        <v>1288.5678652297499</v>
      </c>
      <c r="J133" s="157">
        <f t="shared" si="14"/>
        <v>1378.7676157958326</v>
      </c>
      <c r="K133" s="136">
        <f t="shared" si="14"/>
        <v>1478.7282679410305</v>
      </c>
      <c r="L133" s="137">
        <f t="shared" si="14"/>
        <v>1589.6328880366079</v>
      </c>
      <c r="M133" s="137">
        <f t="shared" si="14"/>
        <v>1712.8294368594452</v>
      </c>
      <c r="N133" s="137">
        <f t="shared" si="14"/>
        <v>1849.8557918082008</v>
      </c>
      <c r="O133" s="137">
        <f t="shared" si="14"/>
        <v>2002.4688946323774</v>
      </c>
    </row>
    <row r="134" spans="2:17" ht="12.95" customHeight="1" outlineLevel="1" x14ac:dyDescent="0.2">
      <c r="B134" s="1" t="str">
        <f>+B65</f>
        <v>Cost of Goods Sold (Cost of Sales)</v>
      </c>
      <c r="H134" s="137">
        <f t="shared" ref="H134:O134" si="15">-H65</f>
        <v>679.97665752030014</v>
      </c>
      <c r="I134" s="137">
        <f t="shared" si="15"/>
        <v>721.59800452866</v>
      </c>
      <c r="J134" s="157">
        <f t="shared" si="15"/>
        <v>769.35232961407462</v>
      </c>
      <c r="K134" s="136">
        <f t="shared" si="15"/>
        <v>822.17291697521307</v>
      </c>
      <c r="L134" s="137">
        <f t="shared" si="15"/>
        <v>880.65661997228085</v>
      </c>
      <c r="M134" s="137">
        <f t="shared" si="15"/>
        <v>945.48184914641388</v>
      </c>
      <c r="N134" s="137">
        <f t="shared" si="15"/>
        <v>1017.4206854945105</v>
      </c>
      <c r="O134" s="137">
        <f t="shared" si="15"/>
        <v>1097.3529542585429</v>
      </c>
    </row>
    <row r="135" spans="2:17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16">-H67</f>
        <v>335.75359868662508</v>
      </c>
      <c r="I135" s="140">
        <f t="shared" si="16"/>
        <v>355.64473080341099</v>
      </c>
      <c r="J135" s="122">
        <f t="shared" si="16"/>
        <v>378.47171053595611</v>
      </c>
      <c r="K135" s="140">
        <f t="shared" si="16"/>
        <v>403.69281714790134</v>
      </c>
      <c r="L135" s="140">
        <f t="shared" si="16"/>
        <v>431.58532910193907</v>
      </c>
      <c r="M135" s="140">
        <f t="shared" si="16"/>
        <v>462.46394795205021</v>
      </c>
      <c r="N135" s="140">
        <f t="shared" si="16"/>
        <v>496.68628010050196</v>
      </c>
      <c r="O135" s="140">
        <f t="shared" si="16"/>
        <v>534.65919486684481</v>
      </c>
    </row>
    <row r="136" spans="2:17" ht="12.95" customHeight="1" outlineLevel="1" x14ac:dyDescent="0.2">
      <c r="J136" s="161"/>
      <c r="K136" s="93"/>
    </row>
    <row r="137" spans="2:17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7" ht="12.95" customHeight="1" x14ac:dyDescent="0.2">
      <c r="B138" s="1" t="s">
        <v>68</v>
      </c>
      <c r="H138" s="335"/>
      <c r="I138" s="335"/>
      <c r="J138" s="336"/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7" ht="12.95" customHeight="1" x14ac:dyDescent="0.2">
      <c r="B139" s="1" t="s">
        <v>69</v>
      </c>
      <c r="H139" s="225"/>
      <c r="I139" s="225"/>
      <c r="J139" s="125"/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7" ht="12.95" customHeight="1" x14ac:dyDescent="0.2">
      <c r="B140" s="1" t="s">
        <v>70</v>
      </c>
      <c r="H140" s="129"/>
      <c r="I140" s="129"/>
      <c r="J140" s="165"/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7" ht="12.95" customHeight="1" x14ac:dyDescent="0.2">
      <c r="B141" s="1" t="s">
        <v>164</v>
      </c>
      <c r="H141" s="129"/>
      <c r="I141" s="129"/>
      <c r="J141" s="165"/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7" ht="3" customHeight="1" x14ac:dyDescent="0.2">
      <c r="H142" s="29"/>
      <c r="I142" s="29"/>
      <c r="J142" s="59"/>
      <c r="K142" s="93"/>
    </row>
    <row r="143" spans="2:17" ht="12.95" customHeight="1" x14ac:dyDescent="0.2">
      <c r="B143" s="1" t="s">
        <v>71</v>
      </c>
      <c r="H143" s="335"/>
      <c r="I143" s="335"/>
      <c r="J143" s="340"/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7" ht="12.95" customHeight="1" x14ac:dyDescent="0.2">
      <c r="B144" s="1" t="s">
        <v>72</v>
      </c>
      <c r="H144" s="129"/>
      <c r="I144" s="129"/>
      <c r="J144" s="165"/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129"/>
      <c r="I145" s="129"/>
      <c r="J145" s="165"/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129"/>
      <c r="I146" s="129"/>
      <c r="J146" s="165"/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60"/>
      <c r="I148" s="160"/>
      <c r="J148" s="120"/>
      <c r="K148" s="117"/>
      <c r="L148" s="160"/>
      <c r="M148" s="160"/>
      <c r="N148" s="160"/>
      <c r="O148" s="160"/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342"/>
      <c r="I149" s="342"/>
      <c r="J149" s="343"/>
      <c r="K149" s="342"/>
      <c r="L149" s="342"/>
      <c r="M149" s="342"/>
      <c r="N149" s="342"/>
      <c r="O149" s="342"/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270"/>
      <c r="L155" s="270"/>
      <c r="M155" s="270"/>
      <c r="N155" s="270"/>
      <c r="O155" s="270"/>
      <c r="Q155" s="1" t="s">
        <v>237</v>
      </c>
    </row>
    <row r="156" spans="1:17" ht="12.95" customHeight="1" x14ac:dyDescent="0.2">
      <c r="B156" s="1" t="s">
        <v>77</v>
      </c>
      <c r="H156" s="23"/>
      <c r="I156" s="23"/>
      <c r="J156" s="23"/>
      <c r="K156" s="137"/>
      <c r="L156" s="137"/>
      <c r="M156" s="137"/>
      <c r="N156" s="137"/>
      <c r="O156" s="137"/>
      <c r="P156" s="143"/>
      <c r="Q156" s="143"/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/>
      <c r="L160" s="137"/>
      <c r="M160" s="137"/>
      <c r="N160" s="137"/>
      <c r="O160" s="137"/>
      <c r="P160" s="143"/>
      <c r="Q160" s="202"/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/>
      <c r="L161" s="137"/>
      <c r="M161" s="137"/>
      <c r="N161" s="137"/>
      <c r="O161" s="137"/>
      <c r="P161" s="143"/>
      <c r="Q161" s="202"/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/>
      <c r="L162" s="137"/>
      <c r="M162" s="137"/>
      <c r="N162" s="137"/>
      <c r="O162" s="137"/>
      <c r="P162" s="143"/>
      <c r="Q162" s="202"/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/>
      <c r="L163" s="137"/>
      <c r="M163" s="137"/>
      <c r="N163" s="137"/>
      <c r="O163" s="137"/>
      <c r="P163" s="143"/>
      <c r="Q163" s="202"/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/>
      <c r="L164" s="137"/>
      <c r="M164" s="137"/>
      <c r="N164" s="137"/>
      <c r="O164" s="137"/>
      <c r="P164" s="143"/>
      <c r="Q164" s="202"/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/>
      <c r="L165" s="137"/>
      <c r="M165" s="137"/>
      <c r="N165" s="137"/>
      <c r="O165" s="137"/>
      <c r="P165" s="143"/>
      <c r="Q165" s="202"/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/>
      <c r="L166" s="137"/>
      <c r="M166" s="137"/>
      <c r="N166" s="137"/>
      <c r="O166" s="137"/>
      <c r="P166" s="143"/>
      <c r="Q166" s="202"/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/>
      <c r="L167" s="140"/>
      <c r="M167" s="140"/>
      <c r="N167" s="140"/>
      <c r="O167" s="140"/>
      <c r="P167" s="143"/>
      <c r="Q167" s="202"/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266"/>
      <c r="L168" s="266"/>
      <c r="M168" s="266"/>
      <c r="N168" s="266"/>
      <c r="O168" s="266"/>
      <c r="Q168" s="1" t="s">
        <v>321</v>
      </c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298"/>
      <c r="L170" s="298"/>
      <c r="M170" s="298"/>
      <c r="N170" s="298"/>
      <c r="O170" s="298"/>
      <c r="Q170" s="93" t="s">
        <v>238</v>
      </c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160"/>
      <c r="L173" s="160"/>
      <c r="M173" s="160"/>
      <c r="N173" s="160"/>
      <c r="O173" s="160"/>
      <c r="P173" s="143"/>
      <c r="Q173" s="143"/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298"/>
      <c r="L174" s="298"/>
      <c r="M174" s="298"/>
      <c r="N174" s="298"/>
      <c r="O174" s="298"/>
      <c r="Q174" s="93" t="s">
        <v>239</v>
      </c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348"/>
      <c r="L182" s="348"/>
      <c r="M182" s="348"/>
      <c r="N182" s="348"/>
      <c r="O182" s="348"/>
      <c r="Q182" s="1" t="s">
        <v>240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298"/>
      <c r="L184" s="298"/>
      <c r="M184" s="298"/>
      <c r="N184" s="298"/>
      <c r="O184" s="298"/>
      <c r="Q184" s="93" t="s">
        <v>241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326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325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17">+H133</f>
        <v>1209.9228781500001</v>
      </c>
      <c r="I249" s="137">
        <f t="shared" si="17"/>
        <v>1288.5678652297499</v>
      </c>
      <c r="J249" s="136">
        <f t="shared" si="17"/>
        <v>1378.7676157958326</v>
      </c>
      <c r="K249" s="136">
        <f t="shared" si="17"/>
        <v>1478.7282679410305</v>
      </c>
      <c r="L249" s="137">
        <f t="shared" si="17"/>
        <v>1589.6328880366079</v>
      </c>
      <c r="M249" s="137">
        <f t="shared" si="17"/>
        <v>1712.8294368594452</v>
      </c>
      <c r="N249" s="137">
        <f t="shared" si="17"/>
        <v>1849.8557918082008</v>
      </c>
      <c r="O249" s="137">
        <f t="shared" si="17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17"/>
        <v>679.97665752030014</v>
      </c>
      <c r="I250" s="137">
        <f t="shared" si="17"/>
        <v>721.59800452866</v>
      </c>
      <c r="J250" s="136">
        <f t="shared" si="17"/>
        <v>769.35232961407462</v>
      </c>
      <c r="K250" s="136">
        <f t="shared" si="17"/>
        <v>822.17291697521307</v>
      </c>
      <c r="L250" s="137">
        <f t="shared" si="17"/>
        <v>880.65661997228085</v>
      </c>
      <c r="M250" s="137">
        <f t="shared" si="17"/>
        <v>945.48184914641388</v>
      </c>
      <c r="N250" s="137">
        <f t="shared" si="17"/>
        <v>1017.4206854945105</v>
      </c>
      <c r="O250" s="137">
        <f t="shared" si="17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17"/>
        <v>335.75359868662508</v>
      </c>
      <c r="I251" s="140">
        <f t="shared" si="17"/>
        <v>355.64473080341099</v>
      </c>
      <c r="J251" s="140">
        <f t="shared" si="17"/>
        <v>378.47171053595611</v>
      </c>
      <c r="K251" s="140">
        <f t="shared" si="17"/>
        <v>403.69281714790134</v>
      </c>
      <c r="L251" s="140">
        <f t="shared" si="17"/>
        <v>431.58532910193907</v>
      </c>
      <c r="M251" s="140">
        <f t="shared" si="17"/>
        <v>462.46394795205021</v>
      </c>
      <c r="N251" s="140">
        <f t="shared" si="17"/>
        <v>496.68628010050196</v>
      </c>
      <c r="O251" s="140">
        <f t="shared" si="17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/>
      <c r="L255" s="178"/>
      <c r="M255" s="178"/>
      <c r="N255" s="178"/>
      <c r="O255" s="178"/>
      <c r="P255" s="143"/>
      <c r="Q255" s="143"/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/>
      <c r="L256" s="179"/>
      <c r="M256" s="179"/>
      <c r="N256" s="179"/>
      <c r="O256" s="179"/>
      <c r="P256" s="143"/>
      <c r="Q256" s="143"/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/>
      <c r="L257" s="180"/>
      <c r="M257" s="180"/>
      <c r="N257" s="180"/>
      <c r="O257" s="180"/>
      <c r="P257" s="143"/>
      <c r="Q257" s="143"/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/>
      <c r="L258" s="181"/>
      <c r="M258" s="181"/>
      <c r="N258" s="181"/>
      <c r="O258" s="181"/>
      <c r="P258" s="143"/>
      <c r="Q258" s="143"/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129"/>
      <c r="I259" s="129"/>
      <c r="J259" s="165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4"/>
      <c r="I260" s="324"/>
      <c r="J260" s="325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9A26-6226-4294-A8A8-B623EEED41F7}">
  <dimension ref="A2:X323"/>
  <sheetViews>
    <sheetView showGridLines="0" topLeftCell="A104" zoomScaleNormal="100" zoomScaleSheetLayoutView="85" workbookViewId="0">
      <selection activeCell="Q160" sqref="Q160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7" ht="12.95" customHeight="1" x14ac:dyDescent="0.25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/>
      <c r="L83" s="134"/>
      <c r="M83" s="134"/>
      <c r="N83" s="134"/>
      <c r="O83" s="134"/>
      <c r="P83" s="143"/>
      <c r="Q83" s="330"/>
    </row>
    <row r="84" spans="2:17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252.86253381791607</v>
      </c>
      <c r="L84" s="197">
        <f t="shared" si="7"/>
        <v>277.39093896238802</v>
      </c>
      <c r="M84" s="197">
        <f t="shared" si="7"/>
        <v>304.88363976098111</v>
      </c>
      <c r="N84" s="197">
        <f t="shared" si="7"/>
        <v>335.74882621318835</v>
      </c>
      <c r="O84" s="197">
        <f t="shared" si="7"/>
        <v>370.45674550698971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252.86253381791607</v>
      </c>
      <c r="L86" s="145">
        <f t="shared" si="8"/>
        <v>277.39093896238802</v>
      </c>
      <c r="M86" s="145">
        <f t="shared" si="8"/>
        <v>304.88363976098111</v>
      </c>
      <c r="N86" s="145">
        <f t="shared" si="8"/>
        <v>335.74882621318835</v>
      </c>
      <c r="O86" s="145">
        <f t="shared" si="8"/>
        <v>370.45674550698971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7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0.1709999999999999</v>
      </c>
      <c r="L92" s="63">
        <f t="shared" si="9"/>
        <v>0.17449999999999996</v>
      </c>
      <c r="M92" s="63">
        <f t="shared" si="9"/>
        <v>0.17799999999999994</v>
      </c>
      <c r="N92" s="63">
        <f t="shared" si="9"/>
        <v>0.18149999999999994</v>
      </c>
      <c r="O92" s="63">
        <f t="shared" si="9"/>
        <v>0.18499999999999994</v>
      </c>
    </row>
    <row r="93" spans="2:17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5.9473831809484512E-3</v>
      </c>
      <c r="L93" s="63">
        <f t="shared" si="10"/>
        <v>9.700292397660859E-2</v>
      </c>
      <c r="M93" s="63">
        <f t="shared" si="10"/>
        <v>9.911174785100263E-2</v>
      </c>
      <c r="N93" s="63">
        <f t="shared" si="10"/>
        <v>0.10123595505617988</v>
      </c>
      <c r="O93" s="63">
        <f t="shared" si="10"/>
        <v>0.10337465564738291</v>
      </c>
    </row>
    <row r="94" spans="2:17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7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0</v>
      </c>
      <c r="L97" s="76">
        <f t="shared" si="13"/>
        <v>0</v>
      </c>
      <c r="M97" s="76">
        <f t="shared" si="13"/>
        <v>0</v>
      </c>
      <c r="N97" s="76">
        <f t="shared" si="13"/>
        <v>0</v>
      </c>
      <c r="O97" s="76">
        <f t="shared" si="13"/>
        <v>0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387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314"/>
      <c r="L104" s="305"/>
      <c r="M104" s="305"/>
      <c r="N104" s="305"/>
      <c r="O104" s="305"/>
      <c r="Q104" s="46" t="s">
        <v>225</v>
      </c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300"/>
      <c r="L105" s="272"/>
      <c r="M105" s="272"/>
      <c r="N105" s="272"/>
      <c r="O105" s="272"/>
      <c r="Q105" s="46" t="s">
        <v>226</v>
      </c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277"/>
      <c r="L106" s="277"/>
      <c r="M106" s="277"/>
      <c r="N106" s="277"/>
      <c r="O106" s="277"/>
      <c r="Q106" s="46" t="s">
        <v>227</v>
      </c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266"/>
      <c r="I107" s="266"/>
      <c r="J107" s="267"/>
      <c r="K107" s="278"/>
      <c r="L107" s="266"/>
      <c r="M107" s="266"/>
      <c r="N107" s="266"/>
      <c r="O107" s="266"/>
      <c r="Q107" s="46" t="s">
        <v>228</v>
      </c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5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/>
      <c r="L109" s="136"/>
      <c r="M109" s="136"/>
      <c r="N109" s="136"/>
      <c r="O109" s="136"/>
      <c r="P109" s="143"/>
      <c r="Q109" s="330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/>
      <c r="L110" s="136"/>
      <c r="M110" s="136"/>
      <c r="N110" s="136"/>
      <c r="O110" s="136"/>
      <c r="P110" s="143"/>
      <c r="Q110" s="259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/>
      <c r="L111" s="137"/>
      <c r="M111" s="137"/>
      <c r="N111" s="137"/>
      <c r="O111" s="137"/>
      <c r="P111" s="143"/>
      <c r="Q111" s="259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273"/>
      <c r="I112" s="273"/>
      <c r="J112" s="274"/>
      <c r="K112" s="273"/>
      <c r="L112" s="273"/>
      <c r="M112" s="273"/>
      <c r="N112" s="273"/>
      <c r="O112" s="273"/>
      <c r="Q112" s="119" t="s">
        <v>229</v>
      </c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300"/>
      <c r="L114" s="272"/>
      <c r="M114" s="272"/>
      <c r="N114" s="272"/>
      <c r="O114" s="272"/>
      <c r="Q114" s="46" t="s">
        <v>230</v>
      </c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300"/>
      <c r="L115" s="272"/>
      <c r="M115" s="272"/>
      <c r="N115" s="272"/>
      <c r="O115" s="272"/>
      <c r="Q115" s="46" t="s">
        <v>231</v>
      </c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277"/>
      <c r="L116" s="277"/>
      <c r="M116" s="277"/>
      <c r="N116" s="277"/>
      <c r="O116" s="277"/>
      <c r="Q116" s="46" t="s">
        <v>232</v>
      </c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266"/>
      <c r="I117" s="266"/>
      <c r="J117" s="360"/>
      <c r="K117" s="310"/>
      <c r="L117" s="266"/>
      <c r="M117" s="266"/>
      <c r="N117" s="266"/>
      <c r="O117" s="266"/>
      <c r="Q117" s="46" t="s">
        <v>233</v>
      </c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/>
      <c r="L119" s="137"/>
      <c r="M119" s="137"/>
      <c r="N119" s="137"/>
      <c r="O119" s="137"/>
      <c r="P119" s="143"/>
      <c r="Q119" s="259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38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278"/>
      <c r="I123" s="278"/>
      <c r="J123" s="267"/>
      <c r="K123" s="278"/>
      <c r="L123" s="278"/>
      <c r="M123" s="278"/>
      <c r="N123" s="278"/>
      <c r="O123" s="278"/>
      <c r="Q123" s="46" t="s">
        <v>234</v>
      </c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298"/>
      <c r="I128" s="298"/>
      <c r="J128" s="361"/>
      <c r="K128" s="298"/>
      <c r="L128" s="298"/>
      <c r="M128" s="298"/>
      <c r="N128" s="298"/>
      <c r="O128" s="298"/>
      <c r="Q128" s="119" t="s">
        <v>221</v>
      </c>
      <c r="R128" s="119"/>
      <c r="S128" s="119"/>
      <c r="T128" s="119"/>
      <c r="U128" s="119"/>
      <c r="V128" s="119"/>
      <c r="W128" s="119"/>
      <c r="X128" s="119"/>
    </row>
    <row r="129" spans="2:17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7" ht="12.95" customHeight="1" outlineLevel="1" x14ac:dyDescent="0.2">
      <c r="B130" s="1" t="s">
        <v>65</v>
      </c>
      <c r="H130" s="272"/>
      <c r="I130" s="272"/>
      <c r="J130" s="347"/>
      <c r="K130" s="300"/>
      <c r="L130" s="272"/>
      <c r="M130" s="272"/>
      <c r="N130" s="272"/>
      <c r="O130" s="272"/>
      <c r="Q130" s="119" t="s">
        <v>331</v>
      </c>
    </row>
    <row r="131" spans="2:17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7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7" ht="12.95" customHeight="1" outlineLevel="1" x14ac:dyDescent="0.2">
      <c r="B133" s="1" t="str">
        <f>+B64</f>
        <v>Revenue</v>
      </c>
      <c r="H133" s="137">
        <f t="shared" ref="H133:O133" si="14">+H64</f>
        <v>1209.9228781500001</v>
      </c>
      <c r="I133" s="137">
        <f t="shared" si="14"/>
        <v>1288.5678652297499</v>
      </c>
      <c r="J133" s="157">
        <f t="shared" si="14"/>
        <v>1378.7676157958326</v>
      </c>
      <c r="K133" s="136">
        <f t="shared" si="14"/>
        <v>1478.7282679410305</v>
      </c>
      <c r="L133" s="137">
        <f t="shared" si="14"/>
        <v>1589.6328880366079</v>
      </c>
      <c r="M133" s="137">
        <f t="shared" si="14"/>
        <v>1712.8294368594452</v>
      </c>
      <c r="N133" s="137">
        <f t="shared" si="14"/>
        <v>1849.8557918082008</v>
      </c>
      <c r="O133" s="137">
        <f t="shared" si="14"/>
        <v>2002.4688946323774</v>
      </c>
    </row>
    <row r="134" spans="2:17" ht="12.95" customHeight="1" outlineLevel="1" x14ac:dyDescent="0.2">
      <c r="B134" s="1" t="str">
        <f>+B65</f>
        <v>Cost of Goods Sold (Cost of Sales)</v>
      </c>
      <c r="H134" s="137">
        <f t="shared" ref="H134:O134" si="15">-H65</f>
        <v>679.97665752030014</v>
      </c>
      <c r="I134" s="137">
        <f t="shared" si="15"/>
        <v>721.59800452866</v>
      </c>
      <c r="J134" s="157">
        <f t="shared" si="15"/>
        <v>769.35232961407462</v>
      </c>
      <c r="K134" s="136">
        <f t="shared" si="15"/>
        <v>822.17291697521307</v>
      </c>
      <c r="L134" s="137">
        <f t="shared" si="15"/>
        <v>880.65661997228085</v>
      </c>
      <c r="M134" s="137">
        <f t="shared" si="15"/>
        <v>945.48184914641388</v>
      </c>
      <c r="N134" s="137">
        <f t="shared" si="15"/>
        <v>1017.4206854945105</v>
      </c>
      <c r="O134" s="137">
        <f t="shared" si="15"/>
        <v>1097.3529542585429</v>
      </c>
    </row>
    <row r="135" spans="2:17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16">-H67</f>
        <v>335.75359868662508</v>
      </c>
      <c r="I135" s="140">
        <f t="shared" si="16"/>
        <v>355.64473080341099</v>
      </c>
      <c r="J135" s="122">
        <f t="shared" si="16"/>
        <v>378.47171053595611</v>
      </c>
      <c r="K135" s="140">
        <f t="shared" si="16"/>
        <v>403.69281714790134</v>
      </c>
      <c r="L135" s="140">
        <f t="shared" si="16"/>
        <v>431.58532910193907</v>
      </c>
      <c r="M135" s="140">
        <f t="shared" si="16"/>
        <v>462.46394795205021</v>
      </c>
      <c r="N135" s="140">
        <f t="shared" si="16"/>
        <v>496.68628010050196</v>
      </c>
      <c r="O135" s="140">
        <f t="shared" si="16"/>
        <v>534.65919486684481</v>
      </c>
    </row>
    <row r="136" spans="2:17" ht="12.95" customHeight="1" outlineLevel="1" x14ac:dyDescent="0.2">
      <c r="J136" s="161"/>
      <c r="K136" s="93"/>
    </row>
    <row r="137" spans="2:17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7" ht="12.95" customHeight="1" x14ac:dyDescent="0.2">
      <c r="B138" s="1" t="s">
        <v>68</v>
      </c>
      <c r="H138" s="337"/>
      <c r="I138" s="337"/>
      <c r="J138" s="338"/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  <c r="Q138" s="1" t="s">
        <v>205</v>
      </c>
    </row>
    <row r="139" spans="2:17" ht="12.95" customHeight="1" x14ac:dyDescent="0.2">
      <c r="B139" s="1" t="s">
        <v>69</v>
      </c>
      <c r="H139" s="279"/>
      <c r="I139" s="279"/>
      <c r="J139" s="339"/>
      <c r="K139" s="112">
        <v>5</v>
      </c>
      <c r="L139" s="19">
        <v>5</v>
      </c>
      <c r="M139" s="19">
        <v>5</v>
      </c>
      <c r="N139" s="19">
        <v>5</v>
      </c>
      <c r="O139" s="19">
        <v>5</v>
      </c>
      <c r="Q139" s="1" t="s">
        <v>206</v>
      </c>
    </row>
    <row r="140" spans="2:17" ht="12.95" customHeight="1" x14ac:dyDescent="0.2">
      <c r="B140" s="1" t="s">
        <v>70</v>
      </c>
      <c r="H140" s="326"/>
      <c r="I140" s="326"/>
      <c r="J140" s="327"/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  <c r="Q140" s="1" t="s">
        <v>209</v>
      </c>
    </row>
    <row r="141" spans="2:17" ht="12.95" customHeight="1" x14ac:dyDescent="0.2">
      <c r="B141" s="1" t="s">
        <v>164</v>
      </c>
      <c r="H141" s="129"/>
      <c r="I141" s="129"/>
      <c r="J141" s="165"/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7" ht="3" customHeight="1" x14ac:dyDescent="0.2">
      <c r="H142" s="29"/>
      <c r="I142" s="29"/>
      <c r="J142" s="59"/>
      <c r="K142" s="93"/>
    </row>
    <row r="143" spans="2:17" ht="12.95" customHeight="1" x14ac:dyDescent="0.2">
      <c r="B143" s="1" t="s">
        <v>71</v>
      </c>
      <c r="H143" s="337"/>
      <c r="I143" s="337"/>
      <c r="J143" s="341"/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  <c r="Q143" s="1" t="s">
        <v>207</v>
      </c>
    </row>
    <row r="144" spans="2:17" ht="12.95" customHeight="1" x14ac:dyDescent="0.2">
      <c r="B144" s="1" t="s">
        <v>72</v>
      </c>
      <c r="H144" s="326"/>
      <c r="I144" s="326"/>
      <c r="J144" s="327"/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  <c r="Q144" s="1" t="s">
        <v>336</v>
      </c>
    </row>
    <row r="145" spans="1:17" ht="12.95" customHeight="1" x14ac:dyDescent="0.2">
      <c r="B145" s="1" t="s">
        <v>73</v>
      </c>
      <c r="H145" s="326"/>
      <c r="I145" s="326"/>
      <c r="J145" s="327"/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  <c r="Q145" s="1" t="s">
        <v>217</v>
      </c>
    </row>
    <row r="146" spans="1:17" ht="12.95" customHeight="1" x14ac:dyDescent="0.2">
      <c r="B146" s="1" t="s">
        <v>163</v>
      </c>
      <c r="H146" s="129"/>
      <c r="I146" s="129"/>
      <c r="J146" s="165"/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  <c r="Q146" s="1" t="s">
        <v>337</v>
      </c>
    </row>
    <row r="147" spans="1:17" ht="3" customHeight="1" x14ac:dyDescent="0.2">
      <c r="J147" s="35"/>
      <c r="K147" s="93"/>
      <c r="Q147" s="1" t="s">
        <v>208</v>
      </c>
    </row>
    <row r="148" spans="1:17" ht="12.95" customHeight="1" x14ac:dyDescent="0.2">
      <c r="B148" s="1" t="s">
        <v>74</v>
      </c>
      <c r="H148" s="270"/>
      <c r="I148" s="270"/>
      <c r="J148" s="344"/>
      <c r="K148" s="281"/>
      <c r="L148" s="270"/>
      <c r="M148" s="270"/>
      <c r="N148" s="270"/>
      <c r="O148" s="270"/>
      <c r="Q148" s="1" t="s">
        <v>338</v>
      </c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345"/>
      <c r="I149" s="345"/>
      <c r="J149" s="346"/>
      <c r="K149" s="345"/>
      <c r="L149" s="345"/>
      <c r="M149" s="345"/>
      <c r="N149" s="345"/>
      <c r="O149" s="345"/>
      <c r="Q149" s="1" t="s">
        <v>224</v>
      </c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7" ht="12.95" customHeight="1" x14ac:dyDescent="0.2">
      <c r="B156" s="1" t="s">
        <v>77</v>
      </c>
      <c r="H156" s="23"/>
      <c r="I156" s="23"/>
      <c r="J156" s="23"/>
      <c r="K156" s="137"/>
      <c r="L156" s="137"/>
      <c r="M156" s="137"/>
      <c r="N156" s="137"/>
      <c r="O156" s="137"/>
      <c r="P156" s="143"/>
      <c r="Q156" s="143"/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272"/>
      <c r="L160" s="272"/>
      <c r="M160" s="272"/>
      <c r="N160" s="272"/>
      <c r="O160" s="272"/>
      <c r="Q160" s="29" t="s">
        <v>218</v>
      </c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272"/>
      <c r="L161" s="272"/>
      <c r="M161" s="272"/>
      <c r="N161" s="272"/>
      <c r="O161" s="272"/>
      <c r="Q161" s="29" t="s">
        <v>222</v>
      </c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272"/>
      <c r="L162" s="272"/>
      <c r="M162" s="272"/>
      <c r="N162" s="272"/>
      <c r="O162" s="272"/>
      <c r="Q162" s="29" t="s">
        <v>235</v>
      </c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/>
      <c r="L163" s="137"/>
      <c r="M163" s="137"/>
      <c r="N163" s="137"/>
      <c r="O163" s="137"/>
      <c r="P163" s="143"/>
      <c r="Q163" s="29"/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272"/>
      <c r="L164" s="272"/>
      <c r="M164" s="272"/>
      <c r="N164" s="272"/>
      <c r="O164" s="272"/>
      <c r="Q164" s="29" t="s">
        <v>219</v>
      </c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272"/>
      <c r="L165" s="272"/>
      <c r="M165" s="272"/>
      <c r="N165" s="272"/>
      <c r="O165" s="272"/>
      <c r="Q165" s="29" t="s">
        <v>223</v>
      </c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272"/>
      <c r="L166" s="272"/>
      <c r="M166" s="272"/>
      <c r="N166" s="272"/>
      <c r="O166" s="272"/>
      <c r="Q166" s="29" t="s">
        <v>236</v>
      </c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/>
      <c r="L167" s="140"/>
      <c r="M167" s="140"/>
      <c r="N167" s="140"/>
      <c r="O167" s="140"/>
      <c r="P167" s="143"/>
      <c r="Q167" s="202"/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0</v>
      </c>
      <c r="L168" s="147">
        <f>+SUM(L160:L167)</f>
        <v>0</v>
      </c>
      <c r="M168" s="147">
        <f>+SUM(M160:M167)</f>
        <v>0</v>
      </c>
      <c r="N168" s="147">
        <f>+SUM(N160:N167)</f>
        <v>0</v>
      </c>
      <c r="O168" s="147">
        <f>+SUM(O160:O167)</f>
        <v>0</v>
      </c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187.1182750252579</v>
      </c>
      <c r="L170" s="155">
        <f>+SUM(L155:L157,L168)</f>
        <v>205.26929483216713</v>
      </c>
      <c r="M170" s="155">
        <f>+SUM(M155:M157,M168)</f>
        <v>225.613893423126</v>
      </c>
      <c r="N170" s="155">
        <f>+SUM(N155:N157,N168)</f>
        <v>248.4541313977594</v>
      </c>
      <c r="O170" s="155">
        <f>+SUM(O155:O157,O168)</f>
        <v>274.13799167517237</v>
      </c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160"/>
      <c r="L173" s="160"/>
      <c r="M173" s="160"/>
      <c r="N173" s="160"/>
      <c r="O173" s="160"/>
      <c r="P173" s="143"/>
      <c r="Q173" s="143"/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0</v>
      </c>
      <c r="L174" s="155">
        <f>SUM(L173)</f>
        <v>0</v>
      </c>
      <c r="M174" s="155">
        <f>SUM(M173)</f>
        <v>0</v>
      </c>
      <c r="N174" s="155">
        <f>SUM(N173)</f>
        <v>0</v>
      </c>
      <c r="O174" s="155">
        <f>SUM(O173)</f>
        <v>0</v>
      </c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0</v>
      </c>
      <c r="L182" s="257">
        <f>+SUM(L177:L181)</f>
        <v>0</v>
      </c>
      <c r="M182" s="257">
        <f>+SUM(M177:M181)</f>
        <v>0</v>
      </c>
      <c r="N182" s="257">
        <f>+SUM(N177:N181)</f>
        <v>0</v>
      </c>
      <c r="O182" s="257">
        <f>+SUM(O177:O181)</f>
        <v>0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187.1182750252579</v>
      </c>
      <c r="L184" s="155">
        <f>+L170+L174+L182</f>
        <v>205.26929483216713</v>
      </c>
      <c r="M184" s="155">
        <f>+M170+M174+M182</f>
        <v>225.613893423126</v>
      </c>
      <c r="N184" s="155">
        <f>+N170+N174+N182</f>
        <v>248.4541313977594</v>
      </c>
      <c r="O184" s="155">
        <f>+O170+O174+O182</f>
        <v>274.13799167517237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326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325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17">+H133</f>
        <v>1209.9228781500001</v>
      </c>
      <c r="I249" s="137">
        <f t="shared" si="17"/>
        <v>1288.5678652297499</v>
      </c>
      <c r="J249" s="136">
        <f t="shared" si="17"/>
        <v>1378.7676157958326</v>
      </c>
      <c r="K249" s="136">
        <f t="shared" si="17"/>
        <v>1478.7282679410305</v>
      </c>
      <c r="L249" s="137">
        <f t="shared" si="17"/>
        <v>1589.6328880366079</v>
      </c>
      <c r="M249" s="137">
        <f t="shared" si="17"/>
        <v>1712.8294368594452</v>
      </c>
      <c r="N249" s="137">
        <f t="shared" si="17"/>
        <v>1849.8557918082008</v>
      </c>
      <c r="O249" s="137">
        <f t="shared" si="17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17"/>
        <v>679.97665752030014</v>
      </c>
      <c r="I250" s="137">
        <f t="shared" si="17"/>
        <v>721.59800452866</v>
      </c>
      <c r="J250" s="136">
        <f t="shared" si="17"/>
        <v>769.35232961407462</v>
      </c>
      <c r="K250" s="136">
        <f t="shared" si="17"/>
        <v>822.17291697521307</v>
      </c>
      <c r="L250" s="137">
        <f t="shared" si="17"/>
        <v>880.65661997228085</v>
      </c>
      <c r="M250" s="137">
        <f t="shared" si="17"/>
        <v>945.48184914641388</v>
      </c>
      <c r="N250" s="137">
        <f t="shared" si="17"/>
        <v>1017.4206854945105</v>
      </c>
      <c r="O250" s="137">
        <f t="shared" si="17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17"/>
        <v>335.75359868662508</v>
      </c>
      <c r="I251" s="140">
        <f t="shared" si="17"/>
        <v>355.64473080341099</v>
      </c>
      <c r="J251" s="140">
        <f t="shared" si="17"/>
        <v>378.47171053595611</v>
      </c>
      <c r="K251" s="140">
        <f t="shared" si="17"/>
        <v>403.69281714790134</v>
      </c>
      <c r="L251" s="140">
        <f t="shared" si="17"/>
        <v>431.58532910193907</v>
      </c>
      <c r="M251" s="140">
        <f t="shared" si="17"/>
        <v>462.46394795205021</v>
      </c>
      <c r="N251" s="140">
        <f t="shared" si="17"/>
        <v>496.68628010050196</v>
      </c>
      <c r="O251" s="140">
        <f t="shared" si="17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/>
      <c r="L255" s="178"/>
      <c r="M255" s="178"/>
      <c r="N255" s="178"/>
      <c r="O255" s="178"/>
      <c r="P255" s="143"/>
      <c r="Q255" s="143"/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/>
      <c r="L256" s="179"/>
      <c r="M256" s="179"/>
      <c r="N256" s="179"/>
      <c r="O256" s="179"/>
      <c r="P256" s="143"/>
      <c r="Q256" s="143"/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/>
      <c r="L257" s="180"/>
      <c r="M257" s="180"/>
      <c r="N257" s="180"/>
      <c r="O257" s="180"/>
      <c r="P257" s="143"/>
      <c r="Q257" s="143"/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/>
      <c r="L258" s="181"/>
      <c r="M258" s="181"/>
      <c r="N258" s="181"/>
      <c r="O258" s="181"/>
      <c r="P258" s="143"/>
      <c r="Q258" s="143"/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129"/>
      <c r="I259" s="129"/>
      <c r="J259" s="165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4"/>
      <c r="I260" s="324"/>
      <c r="J260" s="325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27C14-FAE2-43A1-9CB6-F5C708A41BE2}">
  <dimension ref="A2:X323"/>
  <sheetViews>
    <sheetView showGridLines="0" topLeftCell="A99" zoomScale="85" zoomScaleNormal="85" zoomScaleSheetLayoutView="85" workbookViewId="0">
      <selection activeCell="R115" sqref="R115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7" ht="12.95" customHeight="1" x14ac:dyDescent="0.25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/>
      <c r="L83" s="134"/>
      <c r="M83" s="134"/>
      <c r="N83" s="134"/>
      <c r="O83" s="134"/>
      <c r="P83" s="143"/>
      <c r="Q83" s="330"/>
    </row>
    <row r="84" spans="2:17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252.86253381791607</v>
      </c>
      <c r="L84" s="197">
        <f t="shared" si="7"/>
        <v>277.39093896238802</v>
      </c>
      <c r="M84" s="197">
        <f t="shared" si="7"/>
        <v>304.88363976098111</v>
      </c>
      <c r="N84" s="197">
        <f t="shared" si="7"/>
        <v>335.74882621318835</v>
      </c>
      <c r="O84" s="197">
        <f t="shared" si="7"/>
        <v>370.45674550698971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252.86253381791607</v>
      </c>
      <c r="L86" s="145">
        <f t="shared" si="8"/>
        <v>277.39093896238802</v>
      </c>
      <c r="M86" s="145">
        <f t="shared" si="8"/>
        <v>304.88363976098111</v>
      </c>
      <c r="N86" s="145">
        <f t="shared" si="8"/>
        <v>335.74882621318835</v>
      </c>
      <c r="O86" s="145">
        <f t="shared" si="8"/>
        <v>370.45674550698971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7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0.1709999999999999</v>
      </c>
      <c r="L92" s="63">
        <f t="shared" si="9"/>
        <v>0.17449999999999996</v>
      </c>
      <c r="M92" s="63">
        <f t="shared" si="9"/>
        <v>0.17799999999999994</v>
      </c>
      <c r="N92" s="63">
        <f t="shared" si="9"/>
        <v>0.18149999999999994</v>
      </c>
      <c r="O92" s="63">
        <f t="shared" si="9"/>
        <v>0.18499999999999994</v>
      </c>
    </row>
    <row r="93" spans="2:17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5.9473831809484512E-3</v>
      </c>
      <c r="L93" s="63">
        <f t="shared" si="10"/>
        <v>9.700292397660859E-2</v>
      </c>
      <c r="M93" s="63">
        <f t="shared" si="10"/>
        <v>9.911174785100263E-2</v>
      </c>
      <c r="N93" s="63">
        <f t="shared" si="10"/>
        <v>0.10123595505617988</v>
      </c>
      <c r="O93" s="63">
        <f t="shared" si="10"/>
        <v>0.10337465564738291</v>
      </c>
    </row>
    <row r="94" spans="2:17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7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0</v>
      </c>
      <c r="L97" s="76">
        <f t="shared" si="13"/>
        <v>0</v>
      </c>
      <c r="M97" s="76">
        <f t="shared" si="13"/>
        <v>0</v>
      </c>
      <c r="N97" s="76">
        <f t="shared" si="13"/>
        <v>0</v>
      </c>
      <c r="O97" s="76">
        <f t="shared" si="13"/>
        <v>0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5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/>
      <c r="L109" s="136"/>
      <c r="M109" s="136"/>
      <c r="N109" s="136"/>
      <c r="O109" s="136"/>
      <c r="P109" s="143"/>
      <c r="Q109" s="330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300"/>
      <c r="L110" s="300"/>
      <c r="M110" s="300"/>
      <c r="N110" s="300"/>
      <c r="O110" s="300"/>
      <c r="Q110" s="46" t="s">
        <v>212</v>
      </c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300"/>
      <c r="L111" s="272"/>
      <c r="M111" s="272"/>
      <c r="N111" s="272"/>
      <c r="O111" s="272"/>
      <c r="Q111" s="46" t="s">
        <v>213</v>
      </c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324.42082805529276</v>
      </c>
      <c r="L112" s="145">
        <f t="shared" si="15"/>
        <v>348.11653700422505</v>
      </c>
      <c r="M112" s="145">
        <f t="shared" si="15"/>
        <v>374.41043684730874</v>
      </c>
      <c r="N112" s="145">
        <f t="shared" si="15"/>
        <v>403.62332947837018</v>
      </c>
      <c r="O112" s="145">
        <f t="shared" si="15"/>
        <v>436.12126660248282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300"/>
      <c r="L119" s="272"/>
      <c r="M119" s="272"/>
      <c r="N119" s="272"/>
      <c r="O119" s="272"/>
      <c r="Q119" s="46" t="s">
        <v>214</v>
      </c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8">+SUM(H117,H119,H123,H125:H127)</f>
        <v>737.15420182016749</v>
      </c>
      <c r="I128" s="155">
        <f t="shared" si="18"/>
        <v>903.73053547447182</v>
      </c>
      <c r="J128" s="156">
        <f t="shared" si="18"/>
        <v>1087.5713585035739</v>
      </c>
      <c r="K128" s="155">
        <f t="shared" si="18"/>
        <v>212.61248216593572</v>
      </c>
      <c r="L128" s="155">
        <f t="shared" si="18"/>
        <v>227.97441333626784</v>
      </c>
      <c r="M128" s="155">
        <f t="shared" si="18"/>
        <v>245.01316499082679</v>
      </c>
      <c r="N128" s="155">
        <f t="shared" si="18"/>
        <v>263.93461158077093</v>
      </c>
      <c r="O128" s="155">
        <f t="shared" si="18"/>
        <v>284.97354288159352</v>
      </c>
      <c r="Q128" s="119"/>
      <c r="R128" s="119"/>
      <c r="S128" s="119"/>
      <c r="T128" s="119"/>
      <c r="U128" s="119"/>
      <c r="V128" s="119"/>
      <c r="W128" s="119"/>
      <c r="X128" s="119"/>
    </row>
    <row r="129" spans="2:17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7" ht="12.95" customHeight="1" outlineLevel="1" x14ac:dyDescent="0.2">
      <c r="B130" s="1" t="s">
        <v>65</v>
      </c>
      <c r="H130" s="137">
        <f t="shared" ref="H130:O130" si="19">+IF(ABS(H112-H128)&gt;0.001,H112-H128,0)</f>
        <v>0</v>
      </c>
      <c r="I130" s="137">
        <f t="shared" si="19"/>
        <v>0</v>
      </c>
      <c r="J130" s="157">
        <f t="shared" si="19"/>
        <v>0</v>
      </c>
      <c r="K130" s="136">
        <f t="shared" si="19"/>
        <v>111.80834588935704</v>
      </c>
      <c r="L130" s="137">
        <f t="shared" si="19"/>
        <v>120.14212366795721</v>
      </c>
      <c r="M130" s="137">
        <f t="shared" si="19"/>
        <v>129.39727185648195</v>
      </c>
      <c r="N130" s="137">
        <f t="shared" si="19"/>
        <v>139.68871789759925</v>
      </c>
      <c r="O130" s="137">
        <f t="shared" si="19"/>
        <v>151.1477237208893</v>
      </c>
    </row>
    <row r="131" spans="2:17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7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7" ht="12.95" customHeight="1" outlineLevel="1" x14ac:dyDescent="0.2">
      <c r="B133" s="1" t="str">
        <f>+B64</f>
        <v>Revenue</v>
      </c>
      <c r="H133" s="137">
        <f t="shared" ref="H133:O133" si="20">+H64</f>
        <v>1209.9228781500001</v>
      </c>
      <c r="I133" s="137">
        <f t="shared" si="20"/>
        <v>1288.5678652297499</v>
      </c>
      <c r="J133" s="157">
        <f t="shared" si="20"/>
        <v>1378.7676157958326</v>
      </c>
      <c r="K133" s="136">
        <f t="shared" si="20"/>
        <v>1478.7282679410305</v>
      </c>
      <c r="L133" s="137">
        <f t="shared" si="20"/>
        <v>1589.6328880366079</v>
      </c>
      <c r="M133" s="137">
        <f t="shared" si="20"/>
        <v>1712.8294368594452</v>
      </c>
      <c r="N133" s="137">
        <f t="shared" si="20"/>
        <v>1849.8557918082008</v>
      </c>
      <c r="O133" s="137">
        <f t="shared" si="20"/>
        <v>2002.4688946323774</v>
      </c>
    </row>
    <row r="134" spans="2:17" ht="12.95" customHeight="1" outlineLevel="1" x14ac:dyDescent="0.2">
      <c r="B134" s="1" t="str">
        <f>+B65</f>
        <v>Cost of Goods Sold (Cost of Sales)</v>
      </c>
      <c r="H134" s="137">
        <f t="shared" ref="H134:O134" si="21">-H65</f>
        <v>679.97665752030014</v>
      </c>
      <c r="I134" s="137">
        <f t="shared" si="21"/>
        <v>721.59800452866</v>
      </c>
      <c r="J134" s="157">
        <f t="shared" si="21"/>
        <v>769.35232961407462</v>
      </c>
      <c r="K134" s="136">
        <f t="shared" si="21"/>
        <v>822.17291697521307</v>
      </c>
      <c r="L134" s="137">
        <f t="shared" si="21"/>
        <v>880.65661997228085</v>
      </c>
      <c r="M134" s="137">
        <f t="shared" si="21"/>
        <v>945.48184914641388</v>
      </c>
      <c r="N134" s="137">
        <f t="shared" si="21"/>
        <v>1017.4206854945105</v>
      </c>
      <c r="O134" s="137">
        <f t="shared" si="21"/>
        <v>1097.3529542585429</v>
      </c>
    </row>
    <row r="135" spans="2:17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2">-H67</f>
        <v>335.75359868662508</v>
      </c>
      <c r="I135" s="140">
        <f t="shared" si="22"/>
        <v>355.64473080341099</v>
      </c>
      <c r="J135" s="122">
        <f t="shared" si="22"/>
        <v>378.47171053595611</v>
      </c>
      <c r="K135" s="140">
        <f t="shared" si="22"/>
        <v>403.69281714790134</v>
      </c>
      <c r="L135" s="140">
        <f t="shared" si="22"/>
        <v>431.58532910193907</v>
      </c>
      <c r="M135" s="140">
        <f t="shared" si="22"/>
        <v>462.46394795205021</v>
      </c>
      <c r="N135" s="140">
        <f t="shared" si="22"/>
        <v>496.68628010050196</v>
      </c>
      <c r="O135" s="140">
        <f t="shared" si="22"/>
        <v>534.65919486684481</v>
      </c>
    </row>
    <row r="136" spans="2:17" ht="12.95" customHeight="1" outlineLevel="1" x14ac:dyDescent="0.2">
      <c r="J136" s="161"/>
      <c r="K136" s="93"/>
    </row>
    <row r="137" spans="2:17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7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7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7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7" ht="12.95" customHeight="1" x14ac:dyDescent="0.2">
      <c r="B141" s="1" t="s">
        <v>164</v>
      </c>
      <c r="H141" s="326"/>
      <c r="I141" s="326"/>
      <c r="J141" s="327"/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  <c r="Q141" s="1" t="s">
        <v>210</v>
      </c>
    </row>
    <row r="142" spans="2:17" ht="3" customHeight="1" x14ac:dyDescent="0.2">
      <c r="H142" s="29"/>
      <c r="I142" s="29"/>
      <c r="J142" s="59"/>
      <c r="K142" s="93"/>
    </row>
    <row r="143" spans="2:17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7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326"/>
      <c r="I146" s="326"/>
      <c r="J146" s="327"/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  <c r="Q146" s="1" t="s">
        <v>211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7">
        <f t="shared" ref="H148:O148" si="23">+(H107-H103)-H117</f>
        <v>91.6020511818584</v>
      </c>
      <c r="I148" s="17">
        <f t="shared" si="23"/>
        <v>97.514156014335072</v>
      </c>
      <c r="J148" s="40">
        <f t="shared" si="23"/>
        <v>104.29517644639051</v>
      </c>
      <c r="K148" s="115">
        <f t="shared" si="23"/>
        <v>111.80834588935704</v>
      </c>
      <c r="L148" s="17">
        <f t="shared" si="23"/>
        <v>120.14212366795721</v>
      </c>
      <c r="M148" s="17">
        <f t="shared" si="23"/>
        <v>129.39727185648195</v>
      </c>
      <c r="N148" s="17">
        <f t="shared" si="23"/>
        <v>139.68871789759925</v>
      </c>
      <c r="O148" s="17">
        <f t="shared" si="23"/>
        <v>151.1477237208893</v>
      </c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4">+H148/H133</f>
        <v>7.570900000000004E-2</v>
      </c>
      <c r="I149" s="76">
        <f t="shared" si="24"/>
        <v>7.5676383561643787E-2</v>
      </c>
      <c r="J149" s="167">
        <f t="shared" si="24"/>
        <v>7.5643767123287659E-2</v>
      </c>
      <c r="K149" s="76">
        <f t="shared" si="24"/>
        <v>7.5611150684931516E-2</v>
      </c>
      <c r="L149" s="76">
        <f t="shared" si="24"/>
        <v>7.5578534246575318E-2</v>
      </c>
      <c r="M149" s="76">
        <f t="shared" si="24"/>
        <v>7.5545917808219162E-2</v>
      </c>
      <c r="N149" s="76">
        <f t="shared" si="24"/>
        <v>7.551330136986302E-2</v>
      </c>
      <c r="O149" s="76">
        <f t="shared" si="24"/>
        <v>7.5480684931506864E-2</v>
      </c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7" ht="12.95" customHeight="1" x14ac:dyDescent="0.2">
      <c r="B156" s="1" t="s">
        <v>77</v>
      </c>
      <c r="H156" s="23"/>
      <c r="I156" s="23"/>
      <c r="J156" s="23"/>
      <c r="K156" s="137"/>
      <c r="L156" s="137"/>
      <c r="M156" s="137"/>
      <c r="N156" s="137"/>
      <c r="O156" s="137"/>
      <c r="P156" s="143"/>
      <c r="Q156" s="143"/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5">+(J104-K104)</f>
        <v>-8.2159440119340701</v>
      </c>
      <c r="L160" s="137">
        <f t="shared" si="25"/>
        <v>-9.1154482270337525</v>
      </c>
      <c r="M160" s="137">
        <f t="shared" si="25"/>
        <v>-10.125743738863349</v>
      </c>
      <c r="N160" s="137">
        <f t="shared" si="25"/>
        <v>-11.262440132774429</v>
      </c>
      <c r="O160" s="137">
        <f t="shared" si="25"/>
        <v>-12.543542697877541</v>
      </c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5"/>
        <v>-10.564117472227679</v>
      </c>
      <c r="L161" s="137">
        <f t="shared" si="25"/>
        <v>-11.696740599413573</v>
      </c>
      <c r="M161" s="137">
        <f t="shared" si="25"/>
        <v>-12.965045834826583</v>
      </c>
      <c r="N161" s="137">
        <f t="shared" si="25"/>
        <v>-14.387767269619332</v>
      </c>
      <c r="O161" s="137">
        <f t="shared" si="25"/>
        <v>-15.986453752806483</v>
      </c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5"/>
        <v>-2.598976955775143</v>
      </c>
      <c r="L162" s="137">
        <f t="shared" si="25"/>
        <v>-2.8835201224850167</v>
      </c>
      <c r="M162" s="137">
        <f t="shared" si="25"/>
        <v>-3.2031102693937683</v>
      </c>
      <c r="N162" s="137">
        <f t="shared" si="25"/>
        <v>-3.5626852286676467</v>
      </c>
      <c r="O162" s="137">
        <f t="shared" si="25"/>
        <v>-3.9679406734285863</v>
      </c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272"/>
      <c r="L163" s="272"/>
      <c r="M163" s="272"/>
      <c r="N163" s="272"/>
      <c r="O163" s="272"/>
      <c r="Q163" s="29" t="s">
        <v>215</v>
      </c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6">+K114-J114</f>
        <v>4.3414181392716529</v>
      </c>
      <c r="L164" s="137">
        <f t="shared" si="26"/>
        <v>4.8068796983891389</v>
      </c>
      <c r="M164" s="137">
        <f t="shared" si="26"/>
        <v>5.3281010280109342</v>
      </c>
      <c r="N164" s="137">
        <f t="shared" si="26"/>
        <v>5.9127810697065684</v>
      </c>
      <c r="O164" s="137">
        <f t="shared" si="26"/>
        <v>6.5697755148519832</v>
      </c>
      <c r="Q164" s="81"/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6"/>
        <v>4.5264182504388515</v>
      </c>
      <c r="L165" s="137">
        <f t="shared" si="26"/>
        <v>5.0098204671641327</v>
      </c>
      <c r="M165" s="137">
        <f t="shared" si="26"/>
        <v>5.5508231854061449</v>
      </c>
      <c r="N165" s="137">
        <f t="shared" si="26"/>
        <v>6.1573477727998238</v>
      </c>
      <c r="O165" s="137">
        <f t="shared" si="26"/>
        <v>6.8385006447617513</v>
      </c>
      <c r="Q165" s="81"/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6"/>
        <v>4.9980326072598871</v>
      </c>
      <c r="L166" s="137">
        <f t="shared" si="26"/>
        <v>5.5452310047788842</v>
      </c>
      <c r="M166" s="137">
        <f t="shared" si="26"/>
        <v>6.1598274411418572</v>
      </c>
      <c r="N166" s="137">
        <f t="shared" si="26"/>
        <v>6.8513177474377756</v>
      </c>
      <c r="O166" s="137">
        <f t="shared" si="26"/>
        <v>7.6306551412088339</v>
      </c>
      <c r="Q166" s="81"/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277"/>
      <c r="L167" s="277"/>
      <c r="M167" s="277"/>
      <c r="N167" s="277"/>
      <c r="O167" s="277"/>
      <c r="Q167" s="29" t="s">
        <v>216</v>
      </c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-7.5131694429665004</v>
      </c>
      <c r="L168" s="147">
        <f>+SUM(L160:L167)</f>
        <v>-8.3337777786001865</v>
      </c>
      <c r="M168" s="147">
        <f>+SUM(M160:M167)</f>
        <v>-9.255148188524764</v>
      </c>
      <c r="N168" s="147">
        <f>+SUM(N160:N167)</f>
        <v>-10.29144604111724</v>
      </c>
      <c r="O168" s="147">
        <f>+SUM(O160:O167)</f>
        <v>-11.459005823290042</v>
      </c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179.6051055822914</v>
      </c>
      <c r="L170" s="155">
        <f>+SUM(L155:L157,L168)</f>
        <v>196.93551705356694</v>
      </c>
      <c r="M170" s="155">
        <f>+SUM(M155:M157,M168)</f>
        <v>216.35874523460123</v>
      </c>
      <c r="N170" s="155">
        <f>+SUM(N155:N157,N168)</f>
        <v>238.16268535664216</v>
      </c>
      <c r="O170" s="155">
        <f>+SUM(O155:O157,O168)</f>
        <v>262.67898585188232</v>
      </c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160"/>
      <c r="L173" s="160"/>
      <c r="M173" s="160"/>
      <c r="N173" s="160"/>
      <c r="O173" s="160"/>
      <c r="P173" s="143"/>
      <c r="Q173" s="143"/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0</v>
      </c>
      <c r="L174" s="155">
        <f>SUM(L173)</f>
        <v>0</v>
      </c>
      <c r="M174" s="155">
        <f>SUM(M173)</f>
        <v>0</v>
      </c>
      <c r="N174" s="155">
        <f>SUM(N173)</f>
        <v>0</v>
      </c>
      <c r="O174" s="155">
        <f>SUM(O173)</f>
        <v>0</v>
      </c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0</v>
      </c>
      <c r="L182" s="257">
        <f>+SUM(L177:L181)</f>
        <v>0</v>
      </c>
      <c r="M182" s="257">
        <f>+SUM(M177:M181)</f>
        <v>0</v>
      </c>
      <c r="N182" s="257">
        <f>+SUM(N177:N181)</f>
        <v>0</v>
      </c>
      <c r="O182" s="257">
        <f>+SUM(O177:O181)</f>
        <v>0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179.6051055822914</v>
      </c>
      <c r="L184" s="155">
        <f>+L170+L174+L182</f>
        <v>196.93551705356694</v>
      </c>
      <c r="M184" s="155">
        <f>+M170+M174+M182</f>
        <v>216.35874523460123</v>
      </c>
      <c r="N184" s="155">
        <f>+N170+N174+N182</f>
        <v>238.16268535664216</v>
      </c>
      <c r="O184" s="155">
        <f>+O170+O174+O182</f>
        <v>262.67898585188232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326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325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27">+H133</f>
        <v>1209.9228781500001</v>
      </c>
      <c r="I249" s="137">
        <f t="shared" si="27"/>
        <v>1288.5678652297499</v>
      </c>
      <c r="J249" s="136">
        <f t="shared" si="27"/>
        <v>1378.7676157958326</v>
      </c>
      <c r="K249" s="136">
        <f t="shared" si="27"/>
        <v>1478.7282679410305</v>
      </c>
      <c r="L249" s="137">
        <f t="shared" si="27"/>
        <v>1589.6328880366079</v>
      </c>
      <c r="M249" s="137">
        <f t="shared" si="27"/>
        <v>1712.8294368594452</v>
      </c>
      <c r="N249" s="137">
        <f t="shared" si="27"/>
        <v>1849.8557918082008</v>
      </c>
      <c r="O249" s="137">
        <f t="shared" si="27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27"/>
        <v>679.97665752030014</v>
      </c>
      <c r="I250" s="137">
        <f t="shared" si="27"/>
        <v>721.59800452866</v>
      </c>
      <c r="J250" s="136">
        <f t="shared" si="27"/>
        <v>769.35232961407462</v>
      </c>
      <c r="K250" s="136">
        <f t="shared" si="27"/>
        <v>822.17291697521307</v>
      </c>
      <c r="L250" s="137">
        <f t="shared" si="27"/>
        <v>880.65661997228085</v>
      </c>
      <c r="M250" s="137">
        <f t="shared" si="27"/>
        <v>945.48184914641388</v>
      </c>
      <c r="N250" s="137">
        <f t="shared" si="27"/>
        <v>1017.4206854945105</v>
      </c>
      <c r="O250" s="137">
        <f t="shared" si="27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27"/>
        <v>335.75359868662508</v>
      </c>
      <c r="I251" s="140">
        <f t="shared" si="27"/>
        <v>355.64473080341099</v>
      </c>
      <c r="J251" s="140">
        <f t="shared" si="27"/>
        <v>378.47171053595611</v>
      </c>
      <c r="K251" s="140">
        <f t="shared" si="27"/>
        <v>403.69281714790134</v>
      </c>
      <c r="L251" s="140">
        <f t="shared" si="27"/>
        <v>431.58532910193907</v>
      </c>
      <c r="M251" s="140">
        <f t="shared" si="27"/>
        <v>462.46394795205021</v>
      </c>
      <c r="N251" s="140">
        <f t="shared" si="27"/>
        <v>496.68628010050196</v>
      </c>
      <c r="O251" s="140">
        <f t="shared" si="27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/>
      <c r="L255" s="178"/>
      <c r="M255" s="178"/>
      <c r="N255" s="178"/>
      <c r="O255" s="178"/>
      <c r="P255" s="143"/>
      <c r="Q255" s="143"/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/>
      <c r="L256" s="179"/>
      <c r="M256" s="179"/>
      <c r="N256" s="179"/>
      <c r="O256" s="179"/>
      <c r="P256" s="143"/>
      <c r="Q256" s="143"/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/>
      <c r="L257" s="180"/>
      <c r="M257" s="180"/>
      <c r="N257" s="180"/>
      <c r="O257" s="180"/>
      <c r="P257" s="143"/>
      <c r="Q257" s="143"/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/>
      <c r="L258" s="181"/>
      <c r="M258" s="181"/>
      <c r="N258" s="181"/>
      <c r="O258" s="181"/>
      <c r="P258" s="143"/>
      <c r="Q258" s="143"/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129"/>
      <c r="I259" s="129"/>
      <c r="J259" s="165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4"/>
      <c r="I260" s="324"/>
      <c r="J260" s="325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EC4D-B64E-4DFA-8FC7-3213D55D2B10}">
  <dimension ref="A2:X323"/>
  <sheetViews>
    <sheetView showGridLines="0" topLeftCell="A240" zoomScale="115" zoomScaleNormal="115" zoomScaleSheetLayoutView="85" workbookViewId="0">
      <selection activeCell="Q187" sqref="Q187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81"/>
    </row>
    <row r="70" spans="2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81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7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314"/>
      <c r="L83" s="314"/>
      <c r="M83" s="314"/>
      <c r="N83" s="314"/>
      <c r="O83" s="314"/>
      <c r="Q83" s="81" t="s">
        <v>322</v>
      </c>
    </row>
    <row r="84" spans="2:17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252.86253381791607</v>
      </c>
      <c r="L84" s="197">
        <f t="shared" si="7"/>
        <v>277.39093896238802</v>
      </c>
      <c r="M84" s="197">
        <f t="shared" si="7"/>
        <v>304.88363976098111</v>
      </c>
      <c r="N84" s="197">
        <f t="shared" si="7"/>
        <v>335.74882621318835</v>
      </c>
      <c r="O84" s="197">
        <f t="shared" si="7"/>
        <v>370.45674550698971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252.86253381791607</v>
      </c>
      <c r="L86" s="145">
        <f t="shared" si="8"/>
        <v>277.39093896238802</v>
      </c>
      <c r="M86" s="145">
        <f t="shared" si="8"/>
        <v>304.88363976098111</v>
      </c>
      <c r="N86" s="145">
        <f t="shared" si="8"/>
        <v>335.74882621318835</v>
      </c>
      <c r="O86" s="145">
        <f t="shared" si="8"/>
        <v>370.45674550698971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7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0.1709999999999999</v>
      </c>
      <c r="L92" s="63">
        <f t="shared" si="9"/>
        <v>0.17449999999999996</v>
      </c>
      <c r="M92" s="63">
        <f t="shared" si="9"/>
        <v>0.17799999999999994</v>
      </c>
      <c r="N92" s="63">
        <f t="shared" si="9"/>
        <v>0.18149999999999994</v>
      </c>
      <c r="O92" s="63">
        <f t="shared" si="9"/>
        <v>0.18499999999999994</v>
      </c>
    </row>
    <row r="93" spans="2:17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5.9473831809484512E-3</v>
      </c>
      <c r="L93" s="63">
        <f t="shared" si="10"/>
        <v>9.700292397660859E-2</v>
      </c>
      <c r="M93" s="63">
        <f t="shared" si="10"/>
        <v>9.911174785100263E-2</v>
      </c>
      <c r="N93" s="63">
        <f t="shared" si="10"/>
        <v>0.10123595505617988</v>
      </c>
      <c r="O93" s="63">
        <f t="shared" si="10"/>
        <v>0.10337465564738291</v>
      </c>
    </row>
    <row r="94" spans="2:17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7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0</v>
      </c>
      <c r="L97" s="76">
        <f t="shared" si="13"/>
        <v>0</v>
      </c>
      <c r="M97" s="76">
        <f t="shared" si="13"/>
        <v>0</v>
      </c>
      <c r="N97" s="76">
        <f t="shared" si="13"/>
        <v>0</v>
      </c>
      <c r="O97" s="76">
        <f t="shared" si="13"/>
        <v>0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300"/>
      <c r="L109" s="300"/>
      <c r="M109" s="300"/>
      <c r="N109" s="300"/>
      <c r="O109" s="300"/>
      <c r="Q109" s="81" t="s">
        <v>204</v>
      </c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393.569958772934</v>
      </c>
      <c r="L112" s="145">
        <f t="shared" si="15"/>
        <v>421.70185252568939</v>
      </c>
      <c r="M112" s="145">
        <f t="shared" si="15"/>
        <v>452.92361432168656</v>
      </c>
      <c r="N112" s="145">
        <f t="shared" si="15"/>
        <v>487.61756115069824</v>
      </c>
      <c r="O112" s="145">
        <f t="shared" si="15"/>
        <v>526.22002238777793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8">+SUM(H117,H119,H123,H125:H127)</f>
        <v>737.15420182016749</v>
      </c>
      <c r="I128" s="155">
        <f t="shared" si="18"/>
        <v>903.73053547447182</v>
      </c>
      <c r="J128" s="156">
        <f t="shared" si="18"/>
        <v>1087.5713585035739</v>
      </c>
      <c r="K128" s="155">
        <f t="shared" si="18"/>
        <v>227.39976484534603</v>
      </c>
      <c r="L128" s="155">
        <f t="shared" si="18"/>
        <v>243.87074221663391</v>
      </c>
      <c r="M128" s="155">
        <f t="shared" si="18"/>
        <v>262.14145935942122</v>
      </c>
      <c r="N128" s="155">
        <f t="shared" si="18"/>
        <v>282.43316949885292</v>
      </c>
      <c r="O128" s="155">
        <f t="shared" si="18"/>
        <v>304.99823182791727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19">+IF(ABS(H112-H128)&gt;0.001,H112-H128,0)</f>
        <v>0</v>
      </c>
      <c r="I130" s="137">
        <f t="shared" si="19"/>
        <v>0</v>
      </c>
      <c r="J130" s="157">
        <f t="shared" si="19"/>
        <v>0</v>
      </c>
      <c r="K130" s="136">
        <f t="shared" si="19"/>
        <v>166.17019392758797</v>
      </c>
      <c r="L130" s="137">
        <f t="shared" si="19"/>
        <v>177.83111030905548</v>
      </c>
      <c r="M130" s="137">
        <f t="shared" si="19"/>
        <v>190.78215496226534</v>
      </c>
      <c r="N130" s="137">
        <f t="shared" si="19"/>
        <v>205.18439165184532</v>
      </c>
      <c r="O130" s="137">
        <f t="shared" si="19"/>
        <v>221.22179055986066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0">+H64</f>
        <v>1209.9228781500001</v>
      </c>
      <c r="I133" s="137">
        <f t="shared" si="20"/>
        <v>1288.5678652297499</v>
      </c>
      <c r="J133" s="157">
        <f t="shared" si="20"/>
        <v>1378.7676157958326</v>
      </c>
      <c r="K133" s="136">
        <f t="shared" si="20"/>
        <v>1478.7282679410305</v>
      </c>
      <c r="L133" s="137">
        <f t="shared" si="20"/>
        <v>1589.6328880366079</v>
      </c>
      <c r="M133" s="137">
        <f t="shared" si="20"/>
        <v>1712.8294368594452</v>
      </c>
      <c r="N133" s="137">
        <f t="shared" si="20"/>
        <v>1849.8557918082008</v>
      </c>
      <c r="O133" s="137">
        <f t="shared" si="20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1">-H65</f>
        <v>679.97665752030014</v>
      </c>
      <c r="I134" s="137">
        <f t="shared" si="21"/>
        <v>721.59800452866</v>
      </c>
      <c r="J134" s="157">
        <f t="shared" si="21"/>
        <v>769.35232961407462</v>
      </c>
      <c r="K134" s="136">
        <f t="shared" si="21"/>
        <v>822.17291697521307</v>
      </c>
      <c r="L134" s="137">
        <f t="shared" si="21"/>
        <v>880.65661997228085</v>
      </c>
      <c r="M134" s="137">
        <f t="shared" si="21"/>
        <v>945.48184914641388</v>
      </c>
      <c r="N134" s="137">
        <f t="shared" si="21"/>
        <v>1017.4206854945105</v>
      </c>
      <c r="O134" s="137">
        <f t="shared" si="21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2">-H67</f>
        <v>335.75359868662508</v>
      </c>
      <c r="I135" s="140">
        <f t="shared" si="22"/>
        <v>355.64473080341099</v>
      </c>
      <c r="J135" s="122">
        <f t="shared" si="22"/>
        <v>378.47171053595611</v>
      </c>
      <c r="K135" s="140">
        <f t="shared" si="22"/>
        <v>403.69281714790134</v>
      </c>
      <c r="L135" s="140">
        <f t="shared" si="22"/>
        <v>431.58532910193907</v>
      </c>
      <c r="M135" s="140">
        <f t="shared" si="22"/>
        <v>462.46394795205021</v>
      </c>
      <c r="N135" s="140">
        <f t="shared" si="22"/>
        <v>496.68628010050196</v>
      </c>
      <c r="O135" s="140">
        <f t="shared" si="22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7">
        <f t="shared" ref="H148:O148" si="23">+(H107-H103)-H117</f>
        <v>91.6020511818584</v>
      </c>
      <c r="I148" s="17">
        <f t="shared" si="23"/>
        <v>97.514156014335072</v>
      </c>
      <c r="J148" s="40">
        <f t="shared" si="23"/>
        <v>104.29517644639051</v>
      </c>
      <c r="K148" s="115">
        <f t="shared" si="23"/>
        <v>111.80834588935704</v>
      </c>
      <c r="L148" s="17">
        <f t="shared" si="23"/>
        <v>120.14212366795721</v>
      </c>
      <c r="M148" s="17">
        <f t="shared" si="23"/>
        <v>129.39727185648195</v>
      </c>
      <c r="N148" s="17">
        <f t="shared" si="23"/>
        <v>139.68871789759925</v>
      </c>
      <c r="O148" s="17">
        <f t="shared" si="23"/>
        <v>151.1477237208893</v>
      </c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4">+H148/H133</f>
        <v>7.570900000000004E-2</v>
      </c>
      <c r="I149" s="76">
        <f t="shared" si="24"/>
        <v>7.5676383561643787E-2</v>
      </c>
      <c r="J149" s="167">
        <f t="shared" si="24"/>
        <v>7.5643767123287659E-2</v>
      </c>
      <c r="K149" s="76">
        <f t="shared" si="24"/>
        <v>7.5611150684931516E-2</v>
      </c>
      <c r="L149" s="76">
        <f t="shared" si="24"/>
        <v>7.5578534246575318E-2</v>
      </c>
      <c r="M149" s="76">
        <f t="shared" si="24"/>
        <v>7.5545917808219162E-2</v>
      </c>
      <c r="N149" s="76">
        <f t="shared" si="24"/>
        <v>7.551330136986302E-2</v>
      </c>
      <c r="O149" s="76">
        <f t="shared" si="24"/>
        <v>7.5480684931506864E-2</v>
      </c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7" ht="12.95" customHeight="1" x14ac:dyDescent="0.2">
      <c r="B156" s="1" t="s">
        <v>77</v>
      </c>
      <c r="H156" s="23"/>
      <c r="I156" s="23"/>
      <c r="J156" s="23"/>
      <c r="K156" s="272"/>
      <c r="L156" s="272"/>
      <c r="M156" s="272"/>
      <c r="N156" s="272"/>
      <c r="O156" s="272"/>
      <c r="Q156" s="1" t="s">
        <v>198</v>
      </c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5">+(J104-K104)</f>
        <v>-8.2159440119340701</v>
      </c>
      <c r="L160" s="137">
        <f t="shared" si="25"/>
        <v>-9.1154482270337525</v>
      </c>
      <c r="M160" s="137">
        <f t="shared" si="25"/>
        <v>-10.125743738863349</v>
      </c>
      <c r="N160" s="137">
        <f t="shared" si="25"/>
        <v>-11.262440132774429</v>
      </c>
      <c r="O160" s="137">
        <f t="shared" si="25"/>
        <v>-12.543542697877541</v>
      </c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5"/>
        <v>-10.564117472227679</v>
      </c>
      <c r="L161" s="137">
        <f t="shared" si="25"/>
        <v>-11.696740599413573</v>
      </c>
      <c r="M161" s="137">
        <f t="shared" si="25"/>
        <v>-12.965045834826583</v>
      </c>
      <c r="N161" s="137">
        <f t="shared" si="25"/>
        <v>-14.387767269619332</v>
      </c>
      <c r="O161" s="137">
        <f t="shared" si="25"/>
        <v>-15.986453752806483</v>
      </c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5"/>
        <v>-2.598976955775143</v>
      </c>
      <c r="L162" s="137">
        <f t="shared" si="25"/>
        <v>-2.8835201224850167</v>
      </c>
      <c r="M162" s="137">
        <f t="shared" si="25"/>
        <v>-3.2031102693937683</v>
      </c>
      <c r="N162" s="137">
        <f t="shared" si="25"/>
        <v>-3.5626852286676467</v>
      </c>
      <c r="O162" s="137">
        <f t="shared" si="25"/>
        <v>-3.9679406734285863</v>
      </c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6">+K114-J114</f>
        <v>4.3414181392716529</v>
      </c>
      <c r="L164" s="137">
        <f t="shared" si="26"/>
        <v>4.8068796983891389</v>
      </c>
      <c r="M164" s="137">
        <f t="shared" si="26"/>
        <v>5.3281010280109342</v>
      </c>
      <c r="N164" s="137">
        <f t="shared" si="26"/>
        <v>5.9127810697065684</v>
      </c>
      <c r="O164" s="137">
        <f t="shared" si="26"/>
        <v>6.5697755148519832</v>
      </c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6"/>
        <v>4.5264182504388515</v>
      </c>
      <c r="L165" s="137">
        <f t="shared" si="26"/>
        <v>5.0098204671641327</v>
      </c>
      <c r="M165" s="137">
        <f t="shared" si="26"/>
        <v>5.5508231854061449</v>
      </c>
      <c r="N165" s="137">
        <f t="shared" si="26"/>
        <v>6.1573477727998238</v>
      </c>
      <c r="O165" s="137">
        <f t="shared" si="26"/>
        <v>6.8385006447617513</v>
      </c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6"/>
        <v>4.9980326072598871</v>
      </c>
      <c r="L166" s="137">
        <f t="shared" si="26"/>
        <v>5.5452310047788842</v>
      </c>
      <c r="M166" s="137">
        <f t="shared" si="26"/>
        <v>6.1598274411418572</v>
      </c>
      <c r="N166" s="137">
        <f t="shared" si="26"/>
        <v>6.8513177474377756</v>
      </c>
      <c r="O166" s="137">
        <f t="shared" si="26"/>
        <v>7.6306551412088339</v>
      </c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176.60628601793547</v>
      </c>
      <c r="L170" s="155">
        <f>+SUM(L155:L157,L168)</f>
        <v>193.60837845069963</v>
      </c>
      <c r="M170" s="155">
        <f>+SUM(M155:M157,M168)</f>
        <v>212.66284876991611</v>
      </c>
      <c r="N170" s="155">
        <f>+SUM(N155:N157,N168)</f>
        <v>234.05189470817947</v>
      </c>
      <c r="O170" s="155">
        <f>+SUM(O155:O157,O168)</f>
        <v>258.10059276715702</v>
      </c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270"/>
      <c r="L173" s="270"/>
      <c r="M173" s="270"/>
      <c r="N173" s="270"/>
      <c r="O173" s="270"/>
      <c r="P173" s="143"/>
      <c r="Q173" s="1" t="s">
        <v>203</v>
      </c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0</v>
      </c>
      <c r="L174" s="155">
        <f>SUM(L173)</f>
        <v>0</v>
      </c>
      <c r="M174" s="155">
        <f>SUM(M173)</f>
        <v>0</v>
      </c>
      <c r="N174" s="155">
        <f>SUM(N173)</f>
        <v>0</v>
      </c>
      <c r="O174" s="155">
        <f>SUM(O173)</f>
        <v>0</v>
      </c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0</v>
      </c>
      <c r="L182" s="257">
        <f>+SUM(L177:L181)</f>
        <v>0</v>
      </c>
      <c r="M182" s="257">
        <f>+SUM(M177:M181)</f>
        <v>0</v>
      </c>
      <c r="N182" s="257">
        <f>+SUM(N177:N181)</f>
        <v>0</v>
      </c>
      <c r="O182" s="257">
        <f>+SUM(O177:O181)</f>
        <v>0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176.60628601793547</v>
      </c>
      <c r="L184" s="155">
        <f>+L170+L174+L182</f>
        <v>193.60837845069963</v>
      </c>
      <c r="M184" s="155">
        <f>+M170+M174+M182</f>
        <v>212.66284876991611</v>
      </c>
      <c r="N184" s="155">
        <f>+N170+N174+N182</f>
        <v>234.05189470817947</v>
      </c>
      <c r="O184" s="155">
        <f>+O170+O174+O182</f>
        <v>258.10059276715702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326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325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27">+H133</f>
        <v>1209.9228781500001</v>
      </c>
      <c r="I249" s="137">
        <f t="shared" si="27"/>
        <v>1288.5678652297499</v>
      </c>
      <c r="J249" s="136">
        <f t="shared" si="27"/>
        <v>1378.7676157958326</v>
      </c>
      <c r="K249" s="136">
        <f t="shared" si="27"/>
        <v>1478.7282679410305</v>
      </c>
      <c r="L249" s="137">
        <f t="shared" si="27"/>
        <v>1589.6328880366079</v>
      </c>
      <c r="M249" s="137">
        <f t="shared" si="27"/>
        <v>1712.8294368594452</v>
      </c>
      <c r="N249" s="137">
        <f t="shared" si="27"/>
        <v>1849.8557918082008</v>
      </c>
      <c r="O249" s="137">
        <f t="shared" si="27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27"/>
        <v>679.97665752030014</v>
      </c>
      <c r="I250" s="137">
        <f t="shared" si="27"/>
        <v>721.59800452866</v>
      </c>
      <c r="J250" s="136">
        <f t="shared" si="27"/>
        <v>769.35232961407462</v>
      </c>
      <c r="K250" s="136">
        <f t="shared" si="27"/>
        <v>822.17291697521307</v>
      </c>
      <c r="L250" s="137">
        <f t="shared" si="27"/>
        <v>880.65661997228085</v>
      </c>
      <c r="M250" s="137">
        <f t="shared" si="27"/>
        <v>945.48184914641388</v>
      </c>
      <c r="N250" s="137">
        <f t="shared" si="27"/>
        <v>1017.4206854945105</v>
      </c>
      <c r="O250" s="137">
        <f t="shared" si="27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27"/>
        <v>335.75359868662508</v>
      </c>
      <c r="I251" s="140">
        <f t="shared" si="27"/>
        <v>355.64473080341099</v>
      </c>
      <c r="J251" s="140">
        <f t="shared" si="27"/>
        <v>378.47171053595611</v>
      </c>
      <c r="K251" s="140">
        <f t="shared" si="27"/>
        <v>403.69281714790134</v>
      </c>
      <c r="L251" s="140">
        <f t="shared" si="27"/>
        <v>431.58532910193907</v>
      </c>
      <c r="M251" s="140">
        <f t="shared" si="27"/>
        <v>462.46394795205021</v>
      </c>
      <c r="N251" s="140">
        <f t="shared" si="27"/>
        <v>496.68628010050196</v>
      </c>
      <c r="O251" s="140">
        <f t="shared" si="27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02"/>
      <c r="L255" s="102"/>
      <c r="M255" s="102"/>
      <c r="N255" s="102"/>
      <c r="O255" s="102"/>
      <c r="Q255" s="1" t="s">
        <v>199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321"/>
      <c r="L256" s="322"/>
      <c r="M256" s="322"/>
      <c r="N256" s="322"/>
      <c r="O256" s="322"/>
      <c r="Q256" s="1" t="s">
        <v>200</v>
      </c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323"/>
      <c r="L257" s="323"/>
      <c r="M257" s="323"/>
      <c r="N257" s="323"/>
      <c r="O257" s="323"/>
      <c r="Q257" s="1" t="s">
        <v>201</v>
      </c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318"/>
      <c r="L258" s="319"/>
      <c r="M258" s="319"/>
      <c r="N258" s="319"/>
      <c r="O258" s="319"/>
      <c r="Q258" s="1" t="s">
        <v>202</v>
      </c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326"/>
      <c r="I259" s="326"/>
      <c r="J259" s="327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  <c r="Q259" s="1" t="s">
        <v>190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8"/>
      <c r="I260" s="328"/>
      <c r="J260" s="329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  <c r="Q260" s="1" t="s">
        <v>191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14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14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14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14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14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14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14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14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14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14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14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14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14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14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14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14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14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14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14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14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14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14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14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C9A6F-2A24-4896-8715-0750F86CE8C4}">
  <dimension ref="A2:X323"/>
  <sheetViews>
    <sheetView showGridLines="0" topLeftCell="A258" zoomScale="115" zoomScaleNormal="115" zoomScaleSheetLayoutView="85" workbookViewId="0">
      <selection activeCell="Q208" sqref="Q208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401.14931257755063</v>
      </c>
      <c r="L112" s="145">
        <f t="shared" si="15"/>
        <v>430.87083921834261</v>
      </c>
      <c r="M112" s="145">
        <f t="shared" si="15"/>
        <v>463.80543045119924</v>
      </c>
      <c r="N112" s="145">
        <f t="shared" si="15"/>
        <v>500.3492330720191</v>
      </c>
      <c r="O112" s="145">
        <f t="shared" si="15"/>
        <v>540.95416320373113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300"/>
      <c r="L125" s="300"/>
      <c r="M125" s="300"/>
      <c r="N125" s="300"/>
      <c r="O125" s="300"/>
      <c r="Q125" s="46" t="s">
        <v>342</v>
      </c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300"/>
      <c r="L126" s="300"/>
      <c r="M126" s="300"/>
      <c r="N126" s="300"/>
      <c r="O126" s="300"/>
      <c r="Q126" s="46" t="s">
        <v>343</v>
      </c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8">+SUM(H117,H119,H123,H125:H127)</f>
        <v>737.15420182016749</v>
      </c>
      <c r="I128" s="155">
        <f t="shared" si="18"/>
        <v>903.73053547447182</v>
      </c>
      <c r="J128" s="156">
        <f t="shared" si="18"/>
        <v>1087.5713585035739</v>
      </c>
      <c r="K128" s="155">
        <f t="shared" si="18"/>
        <v>227.39976484534603</v>
      </c>
      <c r="L128" s="155">
        <f t="shared" si="18"/>
        <v>243.87074221663391</v>
      </c>
      <c r="M128" s="155">
        <f t="shared" si="18"/>
        <v>262.14145935942122</v>
      </c>
      <c r="N128" s="155">
        <f t="shared" si="18"/>
        <v>282.43316949885292</v>
      </c>
      <c r="O128" s="155">
        <f t="shared" si="18"/>
        <v>304.99823182791727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19">+IF(ABS(H112-H128)&gt;0.001,H112-H128,0)</f>
        <v>0</v>
      </c>
      <c r="I130" s="137">
        <f t="shared" si="19"/>
        <v>0</v>
      </c>
      <c r="J130" s="157">
        <f t="shared" si="19"/>
        <v>0</v>
      </c>
      <c r="K130" s="136">
        <f t="shared" si="19"/>
        <v>173.7495477322046</v>
      </c>
      <c r="L130" s="137">
        <f t="shared" si="19"/>
        <v>187.0000970017087</v>
      </c>
      <c r="M130" s="137">
        <f t="shared" si="19"/>
        <v>201.66397109177802</v>
      </c>
      <c r="N130" s="137">
        <f t="shared" si="19"/>
        <v>217.91606357316618</v>
      </c>
      <c r="O130" s="137">
        <f t="shared" si="19"/>
        <v>235.95593137581386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0">+H64</f>
        <v>1209.9228781500001</v>
      </c>
      <c r="I133" s="137">
        <f t="shared" si="20"/>
        <v>1288.5678652297499</v>
      </c>
      <c r="J133" s="157">
        <f t="shared" si="20"/>
        <v>1378.7676157958326</v>
      </c>
      <c r="K133" s="136">
        <f t="shared" si="20"/>
        <v>1478.7282679410305</v>
      </c>
      <c r="L133" s="137">
        <f t="shared" si="20"/>
        <v>1589.6328880366079</v>
      </c>
      <c r="M133" s="137">
        <f t="shared" si="20"/>
        <v>1712.8294368594452</v>
      </c>
      <c r="N133" s="137">
        <f t="shared" si="20"/>
        <v>1849.8557918082008</v>
      </c>
      <c r="O133" s="137">
        <f t="shared" si="20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1">-H65</f>
        <v>679.97665752030014</v>
      </c>
      <c r="I134" s="137">
        <f t="shared" si="21"/>
        <v>721.59800452866</v>
      </c>
      <c r="J134" s="157">
        <f t="shared" si="21"/>
        <v>769.35232961407462</v>
      </c>
      <c r="K134" s="136">
        <f t="shared" si="21"/>
        <v>822.17291697521307</v>
      </c>
      <c r="L134" s="137">
        <f t="shared" si="21"/>
        <v>880.65661997228085</v>
      </c>
      <c r="M134" s="137">
        <f t="shared" si="21"/>
        <v>945.48184914641388</v>
      </c>
      <c r="N134" s="137">
        <f t="shared" si="21"/>
        <v>1017.4206854945105</v>
      </c>
      <c r="O134" s="137">
        <f t="shared" si="21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2">-H67</f>
        <v>335.75359868662508</v>
      </c>
      <c r="I135" s="140">
        <f t="shared" si="22"/>
        <v>355.64473080341099</v>
      </c>
      <c r="J135" s="122">
        <f t="shared" si="22"/>
        <v>378.47171053595611</v>
      </c>
      <c r="K135" s="140">
        <f t="shared" si="22"/>
        <v>403.69281714790134</v>
      </c>
      <c r="L135" s="140">
        <f t="shared" si="22"/>
        <v>431.58532910193907</v>
      </c>
      <c r="M135" s="140">
        <f t="shared" si="22"/>
        <v>462.46394795205021</v>
      </c>
      <c r="N135" s="140">
        <f t="shared" si="22"/>
        <v>496.68628010050196</v>
      </c>
      <c r="O135" s="140">
        <f t="shared" si="22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7">
        <f t="shared" ref="H148:O148" si="23">+(H107-H103)-H117</f>
        <v>91.6020511818584</v>
      </c>
      <c r="I148" s="17">
        <f t="shared" si="23"/>
        <v>97.514156014335072</v>
      </c>
      <c r="J148" s="40">
        <f t="shared" si="23"/>
        <v>104.29517644639051</v>
      </c>
      <c r="K148" s="115">
        <f t="shared" si="23"/>
        <v>111.80834588935704</v>
      </c>
      <c r="L148" s="17">
        <f t="shared" si="23"/>
        <v>120.14212366795721</v>
      </c>
      <c r="M148" s="17">
        <f t="shared" si="23"/>
        <v>129.39727185648195</v>
      </c>
      <c r="N148" s="17">
        <f t="shared" si="23"/>
        <v>139.68871789759925</v>
      </c>
      <c r="O148" s="17">
        <f t="shared" si="23"/>
        <v>151.1477237208893</v>
      </c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4">+H148/H133</f>
        <v>7.570900000000004E-2</v>
      </c>
      <c r="I149" s="76">
        <f t="shared" si="24"/>
        <v>7.5676383561643787E-2</v>
      </c>
      <c r="J149" s="167">
        <f t="shared" si="24"/>
        <v>7.5643767123287659E-2</v>
      </c>
      <c r="K149" s="76">
        <f t="shared" si="24"/>
        <v>7.5611150684931516E-2</v>
      </c>
      <c r="L149" s="76">
        <f t="shared" si="24"/>
        <v>7.5578534246575318E-2</v>
      </c>
      <c r="M149" s="76">
        <f t="shared" si="24"/>
        <v>7.5545917808219162E-2</v>
      </c>
      <c r="N149" s="76">
        <f t="shared" si="24"/>
        <v>7.551330136986302E-2</v>
      </c>
      <c r="O149" s="76">
        <f t="shared" si="24"/>
        <v>7.5480684931506864E-2</v>
      </c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7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7" ht="12.95" customHeight="1" x14ac:dyDescent="0.2">
      <c r="B157" s="1" t="s">
        <v>134</v>
      </c>
      <c r="H157" s="23"/>
      <c r="I157" s="23"/>
      <c r="J157" s="23"/>
      <c r="K157" s="272"/>
      <c r="L157" s="272"/>
      <c r="M157" s="272"/>
      <c r="N157" s="272"/>
      <c r="O157" s="272"/>
      <c r="Q157" s="1" t="s">
        <v>348</v>
      </c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5">+(J104-K104)</f>
        <v>-8.2159440119340701</v>
      </c>
      <c r="L160" s="137">
        <f t="shared" si="25"/>
        <v>-9.1154482270337525</v>
      </c>
      <c r="M160" s="137">
        <f t="shared" si="25"/>
        <v>-10.125743738863349</v>
      </c>
      <c r="N160" s="137">
        <f t="shared" si="25"/>
        <v>-11.262440132774429</v>
      </c>
      <c r="O160" s="137">
        <f t="shared" si="25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5"/>
        <v>-10.564117472227679</v>
      </c>
      <c r="L161" s="137">
        <f t="shared" si="25"/>
        <v>-11.696740599413573</v>
      </c>
      <c r="M161" s="137">
        <f t="shared" si="25"/>
        <v>-12.965045834826583</v>
      </c>
      <c r="N161" s="137">
        <f t="shared" si="25"/>
        <v>-14.387767269619332</v>
      </c>
      <c r="O161" s="137">
        <f t="shared" si="25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5"/>
        <v>-2.598976955775143</v>
      </c>
      <c r="L162" s="137">
        <f t="shared" si="25"/>
        <v>-2.8835201224850167</v>
      </c>
      <c r="M162" s="137">
        <f t="shared" si="25"/>
        <v>-3.2031102693937683</v>
      </c>
      <c r="N162" s="137">
        <f t="shared" si="25"/>
        <v>-3.5626852286676467</v>
      </c>
      <c r="O162" s="137">
        <f t="shared" si="25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6">+K114-J114</f>
        <v>4.3414181392716529</v>
      </c>
      <c r="L164" s="137">
        <f t="shared" si="26"/>
        <v>4.8068796983891389</v>
      </c>
      <c r="M164" s="137">
        <f t="shared" si="26"/>
        <v>5.3281010280109342</v>
      </c>
      <c r="N164" s="137">
        <f t="shared" si="26"/>
        <v>5.9127810697065684</v>
      </c>
      <c r="O164" s="137">
        <f t="shared" si="26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6"/>
        <v>4.5264182504388515</v>
      </c>
      <c r="L165" s="137">
        <f t="shared" si="26"/>
        <v>5.0098204671641327</v>
      </c>
      <c r="M165" s="137">
        <f t="shared" si="26"/>
        <v>5.5508231854061449</v>
      </c>
      <c r="N165" s="137">
        <f t="shared" si="26"/>
        <v>6.1573477727998238</v>
      </c>
      <c r="O165" s="137">
        <f t="shared" si="26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6"/>
        <v>4.9980326072598871</v>
      </c>
      <c r="L166" s="137">
        <f t="shared" si="26"/>
        <v>5.5452310047788842</v>
      </c>
      <c r="M166" s="137">
        <f t="shared" si="26"/>
        <v>6.1598274411418572</v>
      </c>
      <c r="N166" s="137">
        <f t="shared" si="26"/>
        <v>6.8513177474377756</v>
      </c>
      <c r="O166" s="137">
        <f t="shared" si="26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196.56911763513938</v>
      </c>
      <c r="L170" s="155">
        <f>+SUM(L155:L157,L168)</f>
        <v>215.86323888321215</v>
      </c>
      <c r="M170" s="155">
        <f>+SUM(M155:M157,M168)</f>
        <v>237.49887560437807</v>
      </c>
      <c r="N170" s="155">
        <f>+SUM(N155:N157,N168)</f>
        <v>261.79973158530248</v>
      </c>
      <c r="O170" s="155">
        <f>+SUM(O155:O157,O168)</f>
        <v>289.13886063395887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300"/>
      <c r="L179" s="300"/>
      <c r="M179" s="300"/>
      <c r="N179" s="300"/>
      <c r="O179" s="300"/>
      <c r="Q179" s="93" t="s">
        <v>346</v>
      </c>
    </row>
    <row r="180" spans="1:20" s="93" customFormat="1" ht="12.95" customHeight="1" x14ac:dyDescent="0.2">
      <c r="B180" s="93" t="s">
        <v>113</v>
      </c>
      <c r="K180" s="300"/>
      <c r="L180" s="300"/>
      <c r="M180" s="300"/>
      <c r="N180" s="300"/>
      <c r="O180" s="300"/>
      <c r="Q180" s="1" t="s">
        <v>347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0</v>
      </c>
      <c r="L182" s="257">
        <f>+SUM(L177:L181)</f>
        <v>0</v>
      </c>
      <c r="M182" s="257">
        <f>+SUM(M177:M181)</f>
        <v>0</v>
      </c>
      <c r="N182" s="257">
        <f>+SUM(N177:N181)</f>
        <v>0</v>
      </c>
      <c r="O182" s="257">
        <f>+SUM(O177:O181)</f>
        <v>0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175.12755774999442</v>
      </c>
      <c r="L184" s="155">
        <f>+L170+L174+L182</f>
        <v>192.01874556266301</v>
      </c>
      <c r="M184" s="155">
        <f>+M170+M174+M182</f>
        <v>210.95001933305667</v>
      </c>
      <c r="N184" s="155">
        <f>+N170+N174+N182</f>
        <v>232.20203891637127</v>
      </c>
      <c r="O184" s="155">
        <f>+O170+O174+O182</f>
        <v>256.09812387252464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326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400"/>
      <c r="L198" s="400"/>
      <c r="M198" s="400"/>
      <c r="N198" s="400"/>
      <c r="O198" s="400"/>
      <c r="P198" s="143"/>
      <c r="Q198" s="93" t="s">
        <v>344</v>
      </c>
    </row>
    <row r="199" spans="2:17" ht="12.95" customHeight="1" x14ac:dyDescent="0.2">
      <c r="B199" s="1" t="s">
        <v>116</v>
      </c>
      <c r="K199" s="400"/>
      <c r="L199" s="400"/>
      <c r="M199" s="400"/>
      <c r="N199" s="400"/>
      <c r="O199" s="400"/>
      <c r="P199" s="143"/>
      <c r="Q199" s="1" t="s">
        <v>345</v>
      </c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325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27">+H133</f>
        <v>1209.9228781500001</v>
      </c>
      <c r="I249" s="137">
        <f t="shared" si="27"/>
        <v>1288.5678652297499</v>
      </c>
      <c r="J249" s="136">
        <f t="shared" si="27"/>
        <v>1378.7676157958326</v>
      </c>
      <c r="K249" s="136">
        <f t="shared" si="27"/>
        <v>1478.7282679410305</v>
      </c>
      <c r="L249" s="137">
        <f t="shared" si="27"/>
        <v>1589.6328880366079</v>
      </c>
      <c r="M249" s="137">
        <f t="shared" si="27"/>
        <v>1712.8294368594452</v>
      </c>
      <c r="N249" s="137">
        <f t="shared" si="27"/>
        <v>1849.8557918082008</v>
      </c>
      <c r="O249" s="137">
        <f t="shared" si="27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27"/>
        <v>679.97665752030014</v>
      </c>
      <c r="I250" s="137">
        <f t="shared" si="27"/>
        <v>721.59800452866</v>
      </c>
      <c r="J250" s="136">
        <f t="shared" si="27"/>
        <v>769.35232961407462</v>
      </c>
      <c r="K250" s="136">
        <f t="shared" si="27"/>
        <v>822.17291697521307</v>
      </c>
      <c r="L250" s="137">
        <f t="shared" si="27"/>
        <v>880.65661997228085</v>
      </c>
      <c r="M250" s="137">
        <f t="shared" si="27"/>
        <v>945.48184914641388</v>
      </c>
      <c r="N250" s="137">
        <f t="shared" si="27"/>
        <v>1017.4206854945105</v>
      </c>
      <c r="O250" s="137">
        <f t="shared" si="27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27"/>
        <v>335.75359868662508</v>
      </c>
      <c r="I251" s="140">
        <f t="shared" si="27"/>
        <v>355.64473080341099</v>
      </c>
      <c r="J251" s="140">
        <f t="shared" si="27"/>
        <v>378.47171053595611</v>
      </c>
      <c r="K251" s="140">
        <f t="shared" si="27"/>
        <v>403.69281714790134</v>
      </c>
      <c r="L251" s="140">
        <f t="shared" si="27"/>
        <v>431.58532910193907</v>
      </c>
      <c r="M251" s="140">
        <f t="shared" si="27"/>
        <v>462.46394795205021</v>
      </c>
      <c r="N251" s="140">
        <f t="shared" si="27"/>
        <v>496.68628010050196</v>
      </c>
      <c r="O251" s="140">
        <f t="shared" si="27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02"/>
      <c r="L267" s="102"/>
      <c r="M267" s="102"/>
      <c r="N267" s="102"/>
      <c r="O267" s="102"/>
      <c r="Q267" s="1" t="s">
        <v>193</v>
      </c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317"/>
      <c r="L269" s="317"/>
      <c r="M269" s="317"/>
      <c r="N269" s="317"/>
      <c r="O269" s="317"/>
      <c r="Q269" s="1" t="s">
        <v>194</v>
      </c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318"/>
      <c r="L270" s="319"/>
      <c r="M270" s="319"/>
      <c r="N270" s="319"/>
      <c r="O270" s="319"/>
      <c r="Q270" s="1" t="s">
        <v>195</v>
      </c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389"/>
      <c r="I271" s="389"/>
      <c r="J271" s="390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  <c r="Q271" s="1" t="s">
        <v>192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02"/>
      <c r="L277" s="102"/>
      <c r="M277" s="102"/>
      <c r="N277" s="102"/>
      <c r="O277" s="102"/>
      <c r="Q277" s="1" t="s">
        <v>196</v>
      </c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320"/>
      <c r="L279" s="320"/>
      <c r="M279" s="320"/>
      <c r="N279" s="320"/>
      <c r="O279" s="320"/>
      <c r="Q279" s="1" t="s">
        <v>197</v>
      </c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7C3A-4CEE-4EEC-83CD-9833506DDDEF}">
  <dimension ref="A2:X323"/>
  <sheetViews>
    <sheetView showGridLines="0" topLeftCell="A261" zoomScale="115" zoomScaleNormal="115" zoomScaleSheetLayoutView="85" workbookViewId="0">
      <selection activeCell="Q286" sqref="Q286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401.14931257755063</v>
      </c>
      <c r="L112" s="145">
        <f t="shared" si="15"/>
        <v>430.87083921834261</v>
      </c>
      <c r="M112" s="145">
        <f t="shared" si="15"/>
        <v>463.80543045119924</v>
      </c>
      <c r="N112" s="145">
        <f t="shared" si="15"/>
        <v>500.3492330720191</v>
      </c>
      <c r="O112" s="145">
        <f t="shared" si="15"/>
        <v>540.95416320373113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300"/>
      <c r="L127" s="300"/>
      <c r="M127" s="300"/>
      <c r="N127" s="300"/>
      <c r="O127" s="300"/>
      <c r="Q127" s="46" t="s">
        <v>350</v>
      </c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8">+SUM(H117,H119,H123,H125:H127)</f>
        <v>737.15420182016749</v>
      </c>
      <c r="I128" s="155">
        <f t="shared" si="18"/>
        <v>903.73053547447182</v>
      </c>
      <c r="J128" s="156">
        <f t="shared" si="18"/>
        <v>1087.5713585035739</v>
      </c>
      <c r="K128" s="155">
        <f t="shared" si="18"/>
        <v>364.35470172401222</v>
      </c>
      <c r="L128" s="155">
        <f t="shared" si="18"/>
        <v>387.77095083379982</v>
      </c>
      <c r="M128" s="155">
        <f t="shared" si="18"/>
        <v>413.91269827482051</v>
      </c>
      <c r="N128" s="155">
        <f t="shared" si="18"/>
        <v>443.10512113634428</v>
      </c>
      <c r="O128" s="155">
        <f t="shared" si="18"/>
        <v>475.71770498707338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19">+IF(ABS(H112-H128)&gt;0.001,H112-H128,0)</f>
        <v>0</v>
      </c>
      <c r="I130" s="137">
        <f t="shared" si="19"/>
        <v>0</v>
      </c>
      <c r="J130" s="157">
        <f t="shared" si="19"/>
        <v>0</v>
      </c>
      <c r="K130" s="136">
        <f t="shared" si="19"/>
        <v>36.794610853538416</v>
      </c>
      <c r="L130" s="137">
        <f t="shared" si="19"/>
        <v>43.099888384542794</v>
      </c>
      <c r="M130" s="137">
        <f t="shared" si="19"/>
        <v>49.892732176378729</v>
      </c>
      <c r="N130" s="137">
        <f t="shared" si="19"/>
        <v>57.244111935674823</v>
      </c>
      <c r="O130" s="137">
        <f t="shared" si="19"/>
        <v>65.236458216657752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0">+H64</f>
        <v>1209.9228781500001</v>
      </c>
      <c r="I133" s="137">
        <f t="shared" si="20"/>
        <v>1288.5678652297499</v>
      </c>
      <c r="J133" s="157">
        <f t="shared" si="20"/>
        <v>1378.7676157958326</v>
      </c>
      <c r="K133" s="136">
        <f t="shared" si="20"/>
        <v>1478.7282679410305</v>
      </c>
      <c r="L133" s="137">
        <f t="shared" si="20"/>
        <v>1589.6328880366079</v>
      </c>
      <c r="M133" s="137">
        <f t="shared" si="20"/>
        <v>1712.8294368594452</v>
      </c>
      <c r="N133" s="137">
        <f t="shared" si="20"/>
        <v>1849.8557918082008</v>
      </c>
      <c r="O133" s="137">
        <f t="shared" si="20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1">-H65</f>
        <v>679.97665752030014</v>
      </c>
      <c r="I134" s="137">
        <f t="shared" si="21"/>
        <v>721.59800452866</v>
      </c>
      <c r="J134" s="157">
        <f t="shared" si="21"/>
        <v>769.35232961407462</v>
      </c>
      <c r="K134" s="136">
        <f t="shared" si="21"/>
        <v>822.17291697521307</v>
      </c>
      <c r="L134" s="137">
        <f t="shared" si="21"/>
        <v>880.65661997228085</v>
      </c>
      <c r="M134" s="137">
        <f t="shared" si="21"/>
        <v>945.48184914641388</v>
      </c>
      <c r="N134" s="137">
        <f t="shared" si="21"/>
        <v>1017.4206854945105</v>
      </c>
      <c r="O134" s="137">
        <f t="shared" si="21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2">-H67</f>
        <v>335.75359868662508</v>
      </c>
      <c r="I135" s="140">
        <f t="shared" si="22"/>
        <v>355.64473080341099</v>
      </c>
      <c r="J135" s="122">
        <f t="shared" si="22"/>
        <v>378.47171053595611</v>
      </c>
      <c r="K135" s="140">
        <f t="shared" si="22"/>
        <v>403.69281714790134</v>
      </c>
      <c r="L135" s="140">
        <f t="shared" si="22"/>
        <v>431.58532910193907</v>
      </c>
      <c r="M135" s="140">
        <f t="shared" si="22"/>
        <v>462.46394795205021</v>
      </c>
      <c r="N135" s="140">
        <f t="shared" si="22"/>
        <v>496.68628010050196</v>
      </c>
      <c r="O135" s="140">
        <f t="shared" si="22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3">+(H107-H103)-H117</f>
        <v>91.6020511818584</v>
      </c>
      <c r="I148" s="17">
        <f t="shared" si="23"/>
        <v>97.514156014335072</v>
      </c>
      <c r="J148" s="40">
        <f t="shared" si="23"/>
        <v>104.29517644639051</v>
      </c>
      <c r="K148" s="115">
        <f t="shared" si="23"/>
        <v>111.80834588935704</v>
      </c>
      <c r="L148" s="17">
        <f t="shared" si="23"/>
        <v>120.14212366795721</v>
      </c>
      <c r="M148" s="17">
        <f t="shared" si="23"/>
        <v>129.39727185648195</v>
      </c>
      <c r="N148" s="17">
        <f t="shared" si="23"/>
        <v>139.68871789759925</v>
      </c>
      <c r="O148" s="17">
        <f t="shared" si="23"/>
        <v>151.1477237208893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4">+H148/H133</f>
        <v>7.570900000000004E-2</v>
      </c>
      <c r="I149" s="76">
        <f t="shared" si="24"/>
        <v>7.5676383561643787E-2</v>
      </c>
      <c r="J149" s="167">
        <f t="shared" si="24"/>
        <v>7.5643767123287659E-2</v>
      </c>
      <c r="K149" s="76">
        <f t="shared" si="24"/>
        <v>7.5611150684931516E-2</v>
      </c>
      <c r="L149" s="76">
        <f t="shared" si="24"/>
        <v>7.5578534246575318E-2</v>
      </c>
      <c r="M149" s="76">
        <f t="shared" si="24"/>
        <v>7.5545917808219162E-2</v>
      </c>
      <c r="N149" s="76">
        <f t="shared" si="24"/>
        <v>7.551330136986302E-2</v>
      </c>
      <c r="O149" s="76">
        <f t="shared" si="24"/>
        <v>7.5480684931506864E-2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5">+(J104-K104)</f>
        <v>-8.2159440119340701</v>
      </c>
      <c r="L160" s="137">
        <f t="shared" si="25"/>
        <v>-9.1154482270337525</v>
      </c>
      <c r="M160" s="137">
        <f t="shared" si="25"/>
        <v>-10.125743738863349</v>
      </c>
      <c r="N160" s="137">
        <f t="shared" si="25"/>
        <v>-11.262440132774429</v>
      </c>
      <c r="O160" s="137">
        <f t="shared" si="25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5"/>
        <v>-10.564117472227679</v>
      </c>
      <c r="L161" s="137">
        <f t="shared" si="25"/>
        <v>-11.696740599413573</v>
      </c>
      <c r="M161" s="137">
        <f t="shared" si="25"/>
        <v>-12.965045834826583</v>
      </c>
      <c r="N161" s="137">
        <f t="shared" si="25"/>
        <v>-14.387767269619332</v>
      </c>
      <c r="O161" s="137">
        <f t="shared" si="25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5"/>
        <v>-2.598976955775143</v>
      </c>
      <c r="L162" s="137">
        <f t="shared" si="25"/>
        <v>-2.8835201224850167</v>
      </c>
      <c r="M162" s="137">
        <f t="shared" si="25"/>
        <v>-3.2031102693937683</v>
      </c>
      <c r="N162" s="137">
        <f t="shared" si="25"/>
        <v>-3.5626852286676467</v>
      </c>
      <c r="O162" s="137">
        <f t="shared" si="25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6">+K114-J114</f>
        <v>4.3414181392716529</v>
      </c>
      <c r="L164" s="137">
        <f t="shared" si="26"/>
        <v>4.8068796983891389</v>
      </c>
      <c r="M164" s="137">
        <f t="shared" si="26"/>
        <v>5.3281010280109342</v>
      </c>
      <c r="N164" s="137">
        <f t="shared" si="26"/>
        <v>5.9127810697065684</v>
      </c>
      <c r="O164" s="137">
        <f t="shared" si="26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6"/>
        <v>4.5264182504388515</v>
      </c>
      <c r="L165" s="137">
        <f t="shared" si="26"/>
        <v>5.0098204671641327</v>
      </c>
      <c r="M165" s="137">
        <f t="shared" si="26"/>
        <v>5.5508231854061449</v>
      </c>
      <c r="N165" s="137">
        <f t="shared" si="26"/>
        <v>6.1573477727998238</v>
      </c>
      <c r="O165" s="137">
        <f t="shared" si="26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6"/>
        <v>4.9980326072598871</v>
      </c>
      <c r="L166" s="137">
        <f t="shared" si="26"/>
        <v>5.5452310047788842</v>
      </c>
      <c r="M166" s="137">
        <f t="shared" si="26"/>
        <v>6.1598274411418572</v>
      </c>
      <c r="N166" s="137">
        <f t="shared" si="26"/>
        <v>6.8513177474377756</v>
      </c>
      <c r="O166" s="137">
        <f t="shared" si="26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207.68099832211581</v>
      </c>
      <c r="L170" s="155">
        <f>+SUM(L155:L157,L168)</f>
        <v>227.80851062171183</v>
      </c>
      <c r="M170" s="155">
        <f>+SUM(M155:M157,M168)</f>
        <v>250.36990590261146</v>
      </c>
      <c r="N170" s="155">
        <f>+SUM(N155:N157,N168)</f>
        <v>275.70044430739455</v>
      </c>
      <c r="O170" s="155">
        <f>+SUM(O155:O157,O168)</f>
        <v>304.18638215562356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>
        <f>+K198</f>
        <v>0</v>
      </c>
      <c r="L179" s="136">
        <f t="shared" ref="L179:O180" si="27">+L198</f>
        <v>0</v>
      </c>
      <c r="M179" s="136">
        <f t="shared" si="27"/>
        <v>0</v>
      </c>
      <c r="N179" s="136">
        <f t="shared" si="27"/>
        <v>0</v>
      </c>
      <c r="O179" s="136">
        <f t="shared" si="27"/>
        <v>0</v>
      </c>
    </row>
    <row r="180" spans="1:20" s="93" customFormat="1" ht="12.95" customHeight="1" x14ac:dyDescent="0.2">
      <c r="B180" s="93" t="s">
        <v>113</v>
      </c>
      <c r="K180" s="136">
        <f>+K199</f>
        <v>-5</v>
      </c>
      <c r="L180" s="136">
        <f t="shared" si="27"/>
        <v>-5</v>
      </c>
      <c r="M180" s="136">
        <f t="shared" si="27"/>
        <v>-5</v>
      </c>
      <c r="N180" s="136">
        <f t="shared" si="27"/>
        <v>-5</v>
      </c>
      <c r="O180" s="136">
        <f t="shared" si="27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300"/>
      <c r="L181" s="300"/>
      <c r="M181" s="300"/>
      <c r="N181" s="300"/>
      <c r="O181" s="300"/>
      <c r="Q181" s="1" t="s">
        <v>349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-5</v>
      </c>
      <c r="L182" s="257">
        <f>+SUM(L177:L181)</f>
        <v>-5</v>
      </c>
      <c r="M182" s="257">
        <f>+SUM(M177:M181)</f>
        <v>-5</v>
      </c>
      <c r="N182" s="257">
        <f>+SUM(N177:N181)</f>
        <v>-5</v>
      </c>
      <c r="O182" s="257">
        <f>+SUM(O177:O181)</f>
        <v>-5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181.23943843697086</v>
      </c>
      <c r="L184" s="155">
        <f>+L170+L174+L182</f>
        <v>198.9640173011627</v>
      </c>
      <c r="M184" s="155">
        <f>+M170+M174+M182</f>
        <v>218.82104963129007</v>
      </c>
      <c r="N184" s="155">
        <f>+N170+N174+N182</f>
        <v>241.10275163846333</v>
      </c>
      <c r="O184" s="155">
        <f>+O170+O174+O182</f>
        <v>266.14564539418933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326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>
        <f>+K268</f>
        <v>0</v>
      </c>
      <c r="L198" s="171">
        <f t="shared" ref="L198:O198" si="28">+L268</f>
        <v>0</v>
      </c>
      <c r="M198" s="171">
        <f t="shared" si="28"/>
        <v>0</v>
      </c>
      <c r="N198" s="171">
        <f t="shared" si="28"/>
        <v>0</v>
      </c>
      <c r="O198" s="171">
        <f t="shared" si="28"/>
        <v>0</v>
      </c>
      <c r="P198" s="143"/>
      <c r="Q198" s="143"/>
    </row>
    <row r="199" spans="2:17" ht="12.95" customHeight="1" x14ac:dyDescent="0.2">
      <c r="B199" s="1" t="s">
        <v>116</v>
      </c>
      <c r="K199" s="171">
        <f>+K278</f>
        <v>-5</v>
      </c>
      <c r="L199" s="171">
        <f t="shared" ref="L199:O199" si="29">+L278</f>
        <v>-5</v>
      </c>
      <c r="M199" s="171">
        <f t="shared" si="29"/>
        <v>-5</v>
      </c>
      <c r="N199" s="171">
        <f t="shared" si="29"/>
        <v>-5</v>
      </c>
      <c r="O199" s="171">
        <f t="shared" si="29"/>
        <v>-5</v>
      </c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301"/>
      <c r="L200" s="301"/>
      <c r="M200" s="301"/>
      <c r="N200" s="301"/>
      <c r="O200" s="301"/>
      <c r="P200" s="143"/>
      <c r="Q200" s="1" t="s">
        <v>189</v>
      </c>
    </row>
    <row r="201" spans="2:17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325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8" spans="2:17" s="21" customFormat="1" ht="12.95" customHeight="1" x14ac:dyDescent="0.2">
      <c r="B208" s="18" t="s">
        <v>154</v>
      </c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0">+H133</f>
        <v>1209.9228781500001</v>
      </c>
      <c r="I249" s="137">
        <f t="shared" si="30"/>
        <v>1288.5678652297499</v>
      </c>
      <c r="J249" s="136">
        <f t="shared" si="30"/>
        <v>1378.7676157958326</v>
      </c>
      <c r="K249" s="136">
        <f t="shared" si="30"/>
        <v>1478.7282679410305</v>
      </c>
      <c r="L249" s="137">
        <f t="shared" si="30"/>
        <v>1589.6328880366079</v>
      </c>
      <c r="M249" s="137">
        <f t="shared" si="30"/>
        <v>1712.8294368594452</v>
      </c>
      <c r="N249" s="137">
        <f t="shared" si="30"/>
        <v>1849.8557918082008</v>
      </c>
      <c r="O249" s="137">
        <f t="shared" si="30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0"/>
        <v>679.97665752030014</v>
      </c>
      <c r="I250" s="137">
        <f t="shared" si="30"/>
        <v>721.59800452866</v>
      </c>
      <c r="J250" s="136">
        <f t="shared" si="30"/>
        <v>769.35232961407462</v>
      </c>
      <c r="K250" s="136">
        <f t="shared" si="30"/>
        <v>822.17291697521307</v>
      </c>
      <c r="L250" s="137">
        <f t="shared" si="30"/>
        <v>880.65661997228085</v>
      </c>
      <c r="M250" s="137">
        <f t="shared" si="30"/>
        <v>945.48184914641388</v>
      </c>
      <c r="N250" s="137">
        <f t="shared" si="30"/>
        <v>1017.4206854945105</v>
      </c>
      <c r="O250" s="137">
        <f t="shared" si="30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0"/>
        <v>335.75359868662508</v>
      </c>
      <c r="I251" s="140">
        <f t="shared" si="30"/>
        <v>355.64473080341099</v>
      </c>
      <c r="J251" s="140">
        <f t="shared" si="30"/>
        <v>378.47171053595611</v>
      </c>
      <c r="K251" s="140">
        <f t="shared" si="30"/>
        <v>403.69281714790134</v>
      </c>
      <c r="L251" s="140">
        <f t="shared" si="30"/>
        <v>431.58532910193907</v>
      </c>
      <c r="M251" s="140">
        <f t="shared" si="30"/>
        <v>462.46394795205021</v>
      </c>
      <c r="N251" s="140">
        <f t="shared" si="30"/>
        <v>496.68628010050196</v>
      </c>
      <c r="O251" s="140">
        <f t="shared" si="30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02"/>
      <c r="L285" s="102"/>
      <c r="M285" s="102"/>
      <c r="N285" s="102"/>
      <c r="O285" s="102"/>
      <c r="Q285" s="1" t="s">
        <v>199</v>
      </c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305"/>
      <c r="I286" s="305"/>
      <c r="J286" s="334"/>
      <c r="K286" s="322"/>
      <c r="L286" s="322"/>
      <c r="M286" s="322"/>
      <c r="N286" s="322"/>
      <c r="O286" s="322"/>
      <c r="Q286" s="1" t="s">
        <v>237</v>
      </c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331"/>
      <c r="L287" s="331"/>
      <c r="M287" s="331"/>
      <c r="N287" s="331"/>
      <c r="O287" s="331"/>
      <c r="Q287" s="1" t="s">
        <v>365</v>
      </c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319"/>
      <c r="L288" s="319"/>
      <c r="M288" s="319"/>
      <c r="N288" s="319"/>
      <c r="O288" s="319"/>
      <c r="Q288" s="1" t="s">
        <v>220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332"/>
      <c r="I289" s="332"/>
      <c r="J289" s="3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  <c r="Q289" s="1" t="s">
        <v>364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22507-1FF0-4205-88A6-1268D85A5994}">
  <dimension ref="A2:X323"/>
  <sheetViews>
    <sheetView showGridLines="0" topLeftCell="A179" zoomScale="115" zoomScaleNormal="115" zoomScaleSheetLayoutView="85" workbookViewId="0">
      <selection activeCell="A204" sqref="A204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332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333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328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330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286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285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401.14931257755063</v>
      </c>
      <c r="L112" s="145">
        <f t="shared" si="15"/>
        <v>430.87083921834261</v>
      </c>
      <c r="M112" s="145">
        <f t="shared" si="15"/>
        <v>463.80543045119924</v>
      </c>
      <c r="N112" s="145">
        <f t="shared" si="15"/>
        <v>500.3492330720191</v>
      </c>
      <c r="O112" s="145">
        <f t="shared" si="15"/>
        <v>540.95416320373113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300"/>
      <c r="L121" s="300"/>
      <c r="M121" s="300"/>
      <c r="N121" s="300"/>
      <c r="O121" s="300"/>
      <c r="Q121" s="93" t="s">
        <v>359</v>
      </c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>+K288</f>
        <v>871.95637425895563</v>
      </c>
      <c r="L127" s="136">
        <f t="shared" ref="L127:O127" si="18">+L288</f>
        <v>1066.9622043495142</v>
      </c>
      <c r="M127" s="136">
        <f t="shared" si="18"/>
        <v>1281.295403101484</v>
      </c>
      <c r="N127" s="136">
        <f t="shared" si="18"/>
        <v>1517.3268279293554</v>
      </c>
      <c r="O127" s="136">
        <f t="shared" si="18"/>
        <v>1777.7579200207692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si="19"/>
        <v>1236.3110759829678</v>
      </c>
      <c r="L128" s="155">
        <f t="shared" si="19"/>
        <v>1454.733155183314</v>
      </c>
      <c r="M128" s="155">
        <f t="shared" si="19"/>
        <v>1695.2081013763045</v>
      </c>
      <c r="N128" s="155">
        <f t="shared" si="19"/>
        <v>1960.4319490656997</v>
      </c>
      <c r="O128" s="155">
        <f t="shared" si="19"/>
        <v>2253.4756250078426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si="20"/>
        <v>-835.16176340541722</v>
      </c>
      <c r="L130" s="137">
        <f t="shared" si="20"/>
        <v>-1023.8623159649715</v>
      </c>
      <c r="M130" s="137">
        <f t="shared" si="20"/>
        <v>-1231.4026709251052</v>
      </c>
      <c r="N130" s="137">
        <f t="shared" si="20"/>
        <v>-1460.0827159936805</v>
      </c>
      <c r="O130" s="137">
        <f t="shared" si="20"/>
        <v>-1712.5214618041114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si="24"/>
        <v>111.80834588935704</v>
      </c>
      <c r="L148" s="17">
        <f t="shared" si="24"/>
        <v>120.14212366795721</v>
      </c>
      <c r="M148" s="17">
        <f t="shared" si="24"/>
        <v>129.39727185648195</v>
      </c>
      <c r="N148" s="17">
        <f t="shared" si="24"/>
        <v>139.68871789759925</v>
      </c>
      <c r="O148" s="17">
        <f t="shared" si="24"/>
        <v>151.1477237208893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si="25"/>
        <v>7.5611150684931516E-2</v>
      </c>
      <c r="L149" s="76">
        <f t="shared" si="25"/>
        <v>7.5578534246575318E-2</v>
      </c>
      <c r="M149" s="76">
        <f t="shared" si="25"/>
        <v>7.5545917808219162E-2</v>
      </c>
      <c r="N149" s="76">
        <f t="shared" si="25"/>
        <v>7.551330136986302E-2</v>
      </c>
      <c r="O149" s="76">
        <f t="shared" si="25"/>
        <v>7.5480684931506864E-2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207.68099832211581</v>
      </c>
      <c r="L170" s="155">
        <f>+SUM(L155:L157,L168)</f>
        <v>227.80851062171183</v>
      </c>
      <c r="M170" s="155">
        <f>+SUM(M155:M157,M168)</f>
        <v>250.36990590261146</v>
      </c>
      <c r="N170" s="155">
        <f>+SUM(N155:N157,N168)</f>
        <v>275.70044430739455</v>
      </c>
      <c r="O170" s="155">
        <f>+SUM(O155:O157,O168)</f>
        <v>304.18638215562356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300"/>
      <c r="L178" s="300"/>
      <c r="M178" s="300"/>
      <c r="N178" s="300"/>
      <c r="O178" s="300"/>
      <c r="Q178" s="93" t="s">
        <v>366</v>
      </c>
    </row>
    <row r="179" spans="1:20" s="93" customFormat="1" ht="12.95" customHeight="1" x14ac:dyDescent="0.2">
      <c r="B179" s="93" t="s">
        <v>112</v>
      </c>
      <c r="K179" s="136">
        <f t="shared" ref="K179:O181" si="28">+K198</f>
        <v>0</v>
      </c>
      <c r="L179" s="136">
        <f t="shared" si="28"/>
        <v>0</v>
      </c>
      <c r="M179" s="136">
        <f t="shared" si="28"/>
        <v>0</v>
      </c>
      <c r="N179" s="136">
        <f t="shared" si="28"/>
        <v>0</v>
      </c>
      <c r="O179" s="136">
        <f t="shared" si="28"/>
        <v>0</v>
      </c>
    </row>
    <row r="180" spans="1:20" s="93" customFormat="1" ht="12.95" customHeight="1" x14ac:dyDescent="0.2">
      <c r="B180" s="93" t="s">
        <v>113</v>
      </c>
      <c r="K180" s="136">
        <f t="shared" si="28"/>
        <v>-5</v>
      </c>
      <c r="L180" s="136">
        <f t="shared" si="28"/>
        <v>-5</v>
      </c>
      <c r="M180" s="136">
        <f t="shared" si="28"/>
        <v>-5</v>
      </c>
      <c r="N180" s="136">
        <f t="shared" si="28"/>
        <v>-5</v>
      </c>
      <c r="O180" s="136">
        <f t="shared" si="28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si="28"/>
        <v>-9.3559137512628947</v>
      </c>
      <c r="L181" s="136">
        <f t="shared" si="28"/>
        <v>-10.263464741608358</v>
      </c>
      <c r="M181" s="136">
        <f t="shared" si="28"/>
        <v>-11.280694671156301</v>
      </c>
      <c r="N181" s="136">
        <f t="shared" si="28"/>
        <v>-12.422706569887971</v>
      </c>
      <c r="O181" s="136">
        <f t="shared" si="28"/>
        <v>-13.70689958375862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-14.355913751262895</v>
      </c>
      <c r="L182" s="257">
        <f>+SUM(L177:L181)</f>
        <v>-15.263464741608358</v>
      </c>
      <c r="M182" s="257">
        <f>+SUM(M177:M181)</f>
        <v>-16.280694671156301</v>
      </c>
      <c r="N182" s="257">
        <f>+SUM(N177:N181)</f>
        <v>-17.422706569887971</v>
      </c>
      <c r="O182" s="257">
        <f>+SUM(O177:O181)</f>
        <v>-18.70689958375862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171.88352468570795</v>
      </c>
      <c r="L184" s="155">
        <f>+L170+L174+L182</f>
        <v>188.70055255955435</v>
      </c>
      <c r="M184" s="155">
        <f>+M170+M174+M182</f>
        <v>207.54035496013375</v>
      </c>
      <c r="N184" s="155">
        <f>+N170+N174+N182</f>
        <v>228.68004506857537</v>
      </c>
      <c r="O184" s="155">
        <f>+O170+O174+O182</f>
        <v>252.4387458104307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326</v>
      </c>
    </row>
    <row r="195" spans="2:17" ht="12.95" customHeight="1" x14ac:dyDescent="0.2">
      <c r="B195" s="1" t="s">
        <v>87</v>
      </c>
      <c r="K195" s="270"/>
      <c r="L195" s="270"/>
      <c r="M195" s="270"/>
      <c r="N195" s="270"/>
      <c r="O195" s="270"/>
      <c r="Q195" s="1" t="s">
        <v>186</v>
      </c>
    </row>
    <row r="196" spans="2:17" ht="12.95" customHeight="1" x14ac:dyDescent="0.2">
      <c r="B196" s="1" t="s">
        <v>88</v>
      </c>
      <c r="K196" s="272"/>
      <c r="L196" s="272"/>
      <c r="M196" s="272"/>
      <c r="N196" s="272"/>
      <c r="O196" s="272"/>
      <c r="Q196" s="1" t="s">
        <v>187</v>
      </c>
    </row>
    <row r="197" spans="2:17" s="92" customFormat="1" ht="12.95" customHeight="1" x14ac:dyDescent="0.2">
      <c r="B197" s="16" t="s">
        <v>323</v>
      </c>
      <c r="C197" s="16"/>
      <c r="D197" s="16"/>
      <c r="E197" s="16"/>
      <c r="F197" s="16"/>
      <c r="G197" s="16"/>
      <c r="H197" s="16"/>
      <c r="I197" s="16"/>
      <c r="J197" s="16"/>
      <c r="K197" s="298"/>
      <c r="L197" s="298"/>
      <c r="M197" s="298"/>
      <c r="N197" s="298"/>
      <c r="O197" s="298"/>
      <c r="Q197" s="93" t="s">
        <v>188</v>
      </c>
    </row>
    <row r="198" spans="2:17" ht="12.95" customHeight="1" x14ac:dyDescent="0.2">
      <c r="B198" s="1" t="s">
        <v>115</v>
      </c>
      <c r="K198" s="171">
        <f>+K268</f>
        <v>0</v>
      </c>
      <c r="L198" s="171">
        <f t="shared" ref="L198:O198" si="29">+L268</f>
        <v>0</v>
      </c>
      <c r="M198" s="171">
        <f t="shared" si="29"/>
        <v>0</v>
      </c>
      <c r="N198" s="171">
        <f t="shared" si="29"/>
        <v>0</v>
      </c>
      <c r="O198" s="171">
        <f t="shared" si="29"/>
        <v>0</v>
      </c>
    </row>
    <row r="199" spans="2:17" ht="12.95" customHeight="1" x14ac:dyDescent="0.2">
      <c r="B199" s="1" t="s">
        <v>116</v>
      </c>
      <c r="K199" s="171">
        <f>+K278</f>
        <v>-5</v>
      </c>
      <c r="L199" s="171">
        <f t="shared" ref="L199:O199" si="30">+L278</f>
        <v>-5</v>
      </c>
      <c r="M199" s="171">
        <f t="shared" si="30"/>
        <v>-5</v>
      </c>
      <c r="N199" s="171">
        <f t="shared" si="30"/>
        <v>-5</v>
      </c>
      <c r="O199" s="171">
        <f t="shared" si="30"/>
        <v>-5</v>
      </c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>+K287</f>
        <v>-9.3559137512628947</v>
      </c>
      <c r="L200" s="172">
        <f t="shared" ref="L200:O200" si="31">+L287</f>
        <v>-10.263464741608358</v>
      </c>
      <c r="M200" s="172">
        <f t="shared" si="31"/>
        <v>-11.280694671156301</v>
      </c>
      <c r="N200" s="172">
        <f t="shared" si="31"/>
        <v>-12.422706569887971</v>
      </c>
      <c r="O200" s="172">
        <f t="shared" si="31"/>
        <v>-13.70689958375862</v>
      </c>
    </row>
    <row r="201" spans="2:17" s="21" customFormat="1" ht="12.95" customHeight="1" x14ac:dyDescent="0.2">
      <c r="B201" s="21" t="s">
        <v>324</v>
      </c>
      <c r="C201" s="92"/>
      <c r="D201" s="92"/>
      <c r="E201" s="92"/>
      <c r="F201" s="92"/>
      <c r="G201" s="92"/>
      <c r="H201" s="92"/>
      <c r="I201" s="92"/>
      <c r="J201" s="92"/>
      <c r="K201" s="278"/>
      <c r="L201" s="278"/>
      <c r="M201" s="278"/>
      <c r="N201" s="278"/>
      <c r="O201" s="278"/>
      <c r="Q201" s="1" t="s">
        <v>367</v>
      </c>
    </row>
    <row r="203" spans="2:17" ht="12.95" customHeight="1" x14ac:dyDescent="0.2">
      <c r="B203" s="1" t="s">
        <v>89</v>
      </c>
      <c r="H203" s="23"/>
      <c r="I203" s="23"/>
      <c r="J203" s="23"/>
      <c r="K203" s="270"/>
      <c r="L203" s="270"/>
      <c r="M203" s="270"/>
      <c r="N203" s="270"/>
      <c r="O203" s="270"/>
      <c r="Q203" s="1" t="s">
        <v>351</v>
      </c>
    </row>
    <row r="204" spans="2:17" ht="12.95" customHeight="1" x14ac:dyDescent="0.2">
      <c r="B204" s="1" t="s">
        <v>90</v>
      </c>
      <c r="H204" s="23"/>
      <c r="I204" s="23"/>
      <c r="J204" s="23"/>
      <c r="K204" s="272"/>
      <c r="L204" s="272"/>
      <c r="M204" s="272"/>
      <c r="N204" s="272"/>
      <c r="O204" s="272"/>
      <c r="Q204" s="1" t="s">
        <v>415</v>
      </c>
    </row>
    <row r="205" spans="2:17" ht="12.95" customHeight="1" x14ac:dyDescent="0.2">
      <c r="B205" s="1" t="s">
        <v>325</v>
      </c>
      <c r="H205" s="23"/>
      <c r="I205" s="23"/>
      <c r="J205" s="23"/>
      <c r="K205" s="272"/>
      <c r="L205" s="272"/>
      <c r="M205" s="272"/>
      <c r="N205" s="272"/>
      <c r="O205" s="272"/>
      <c r="Q205" s="1" t="s">
        <v>352</v>
      </c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298"/>
      <c r="L206" s="298"/>
      <c r="M206" s="298"/>
      <c r="N206" s="298"/>
      <c r="O206" s="298"/>
      <c r="Q206" s="1" t="s">
        <v>369</v>
      </c>
    </row>
    <row r="208" spans="2:17" s="21" customFormat="1" ht="12.95" customHeight="1" x14ac:dyDescent="0.2">
      <c r="B208" s="18" t="s">
        <v>154</v>
      </c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277"/>
      <c r="L209" s="277"/>
      <c r="M209" s="277"/>
      <c r="N209" s="277"/>
      <c r="O209" s="277"/>
      <c r="Q209" s="1" t="s">
        <v>357</v>
      </c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278"/>
      <c r="L210" s="278"/>
      <c r="M210" s="278"/>
      <c r="N210" s="278"/>
      <c r="O210" s="278"/>
      <c r="Q210" s="1" t="s">
        <v>358</v>
      </c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271"/>
      <c r="L217" s="270"/>
      <c r="M217" s="270"/>
      <c r="N217" s="270"/>
      <c r="O217" s="270"/>
      <c r="Q217" s="1" t="s">
        <v>353</v>
      </c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277"/>
      <c r="L218" s="277"/>
      <c r="M218" s="277"/>
      <c r="N218" s="277"/>
      <c r="O218" s="277"/>
      <c r="Q218" s="1" t="s">
        <v>354</v>
      </c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266"/>
      <c r="L219" s="266"/>
      <c r="M219" s="266"/>
      <c r="N219" s="266"/>
      <c r="O219" s="266"/>
      <c r="Q219" s="1" t="s">
        <v>355</v>
      </c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12"/>
      <c r="L225" s="12"/>
      <c r="M225" s="12"/>
      <c r="N225" s="12"/>
      <c r="O225" s="12"/>
      <c r="Q225" s="1" t="s">
        <v>356</v>
      </c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2">+H133</f>
        <v>1209.9228781500001</v>
      </c>
      <c r="I249" s="137">
        <f t="shared" si="32"/>
        <v>1288.5678652297499</v>
      </c>
      <c r="J249" s="136">
        <f t="shared" si="32"/>
        <v>1378.7676157958326</v>
      </c>
      <c r="K249" s="136">
        <f t="shared" si="32"/>
        <v>1478.7282679410305</v>
      </c>
      <c r="L249" s="137">
        <f t="shared" si="32"/>
        <v>1589.6328880366079</v>
      </c>
      <c r="M249" s="137">
        <f t="shared" si="32"/>
        <v>1712.8294368594452</v>
      </c>
      <c r="N249" s="137">
        <f t="shared" si="32"/>
        <v>1849.8557918082008</v>
      </c>
      <c r="O249" s="137">
        <f t="shared" si="32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2"/>
        <v>679.97665752030014</v>
      </c>
      <c r="I250" s="137">
        <f t="shared" si="32"/>
        <v>721.59800452866</v>
      </c>
      <c r="J250" s="136">
        <f t="shared" si="32"/>
        <v>769.35232961407462</v>
      </c>
      <c r="K250" s="136">
        <f t="shared" si="32"/>
        <v>822.17291697521307</v>
      </c>
      <c r="L250" s="137">
        <f t="shared" si="32"/>
        <v>880.65661997228085</v>
      </c>
      <c r="M250" s="137">
        <f t="shared" si="32"/>
        <v>945.48184914641388</v>
      </c>
      <c r="N250" s="137">
        <f t="shared" si="32"/>
        <v>1017.4206854945105</v>
      </c>
      <c r="O250" s="137">
        <f t="shared" si="32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2"/>
        <v>335.75359868662508</v>
      </c>
      <c r="I251" s="140">
        <f t="shared" si="32"/>
        <v>355.64473080341099</v>
      </c>
      <c r="J251" s="140">
        <f t="shared" si="32"/>
        <v>378.47171053595611</v>
      </c>
      <c r="K251" s="140">
        <f t="shared" si="32"/>
        <v>403.69281714790134</v>
      </c>
      <c r="L251" s="140">
        <f t="shared" si="32"/>
        <v>431.58532910193907</v>
      </c>
      <c r="M251" s="140">
        <f t="shared" si="32"/>
        <v>462.46394795205021</v>
      </c>
      <c r="N251" s="140">
        <f t="shared" si="32"/>
        <v>496.68628010050196</v>
      </c>
      <c r="O251" s="140">
        <f t="shared" si="32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>+K288</f>
        <v>871.95637425895563</v>
      </c>
      <c r="M285" s="178">
        <f>+L288</f>
        <v>1066.9622043495142</v>
      </c>
      <c r="N285" s="178">
        <f>+M288</f>
        <v>1281.295403101484</v>
      </c>
      <c r="O285" s="178">
        <f>+N288</f>
        <v>1517.3268279293554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3">+H73</f>
        <v>144.38336269074406</v>
      </c>
      <c r="I286" s="135">
        <f t="shared" si="33"/>
        <v>158.09058392211767</v>
      </c>
      <c r="J286" s="229">
        <f t="shared" si="33"/>
        <v>173.73619092811771</v>
      </c>
      <c r="K286" s="179">
        <f t="shared" si="33"/>
        <v>187.1182750252579</v>
      </c>
      <c r="L286" s="179">
        <f t="shared" si="33"/>
        <v>205.26929483216713</v>
      </c>
      <c r="M286" s="179">
        <f t="shared" si="33"/>
        <v>225.613893423126</v>
      </c>
      <c r="N286" s="179">
        <f t="shared" si="33"/>
        <v>248.4541313977594</v>
      </c>
      <c r="O286" s="179">
        <f t="shared" si="33"/>
        <v>274.13799167517237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>-K289*K286</f>
        <v>-9.3559137512628947</v>
      </c>
      <c r="L287" s="194">
        <f>-L289*L286</f>
        <v>-10.263464741608358</v>
      </c>
      <c r="M287" s="194">
        <f>-M289*M286</f>
        <v>-11.280694671156301</v>
      </c>
      <c r="N287" s="194">
        <f>-N289*N286</f>
        <v>-12.422706569887971</v>
      </c>
      <c r="O287" s="194">
        <f>-O289*O286</f>
        <v>-13.70689958375862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>SUM(K285:K287)</f>
        <v>871.95637425895563</v>
      </c>
      <c r="L288" s="181">
        <f>SUM(L285:L287)</f>
        <v>1066.9622043495142</v>
      </c>
      <c r="M288" s="181">
        <f>SUM(M285:M287)</f>
        <v>1281.295403101484</v>
      </c>
      <c r="N288" s="181">
        <f>SUM(N285:N287)</f>
        <v>1517.3268279293554</v>
      </c>
      <c r="O288" s="181">
        <f>SUM(O285:O287)</f>
        <v>1777.7579200207692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50</vt:i4>
      </vt:variant>
    </vt:vector>
  </HeadingPairs>
  <TitlesOfParts>
    <vt:vector size="76" baseType="lpstr">
      <vt:lpstr>1 - Historical Income Statement</vt:lpstr>
      <vt:lpstr>2 - Revenue &amp; Expense Projs</vt:lpstr>
      <vt:lpstr>3 - Cash Flow Statement Setup</vt:lpstr>
      <vt:lpstr>4 - Historical BS + Wkg Capital</vt:lpstr>
      <vt:lpstr>5 - Other Asset &amp; Liabilities</vt:lpstr>
      <vt:lpstr>6 - Property, Plant &amp; Equipment</vt:lpstr>
      <vt:lpstr>7 - Common &amp; Treasury Stock</vt:lpstr>
      <vt:lpstr>8 - Retained Earnings</vt:lpstr>
      <vt:lpstr>9 - Revolving Credit Facility</vt:lpstr>
      <vt:lpstr>10 - Long-Term Debt</vt:lpstr>
      <vt:lpstr>11 - Connect CFS to Cash</vt:lpstr>
      <vt:lpstr>12 - Interest Income &amp; Expense</vt:lpstr>
      <vt:lpstr>13 - Visual Model Checks</vt:lpstr>
      <vt:lpstr>14 - EPS Mechanics</vt:lpstr>
      <vt:lpstr>15 - Summary Page </vt:lpstr>
      <vt:lpstr>Completed Model</vt:lpstr>
      <vt:lpstr>16 - Operating Cases</vt:lpstr>
      <vt:lpstr>17 - Sensitivity Analysis</vt:lpstr>
      <vt:lpstr>Completed S&amp;S</vt:lpstr>
      <vt:lpstr>18 - 3SM --&gt; No Schedules</vt:lpstr>
      <vt:lpstr>No Schedules Completed</vt:lpstr>
      <vt:lpstr>19 - No Schedules --&gt; Mini</vt:lpstr>
      <vt:lpstr>Mini Model Completed</vt:lpstr>
      <vt:lpstr>20 - Model - Common Errors 1</vt:lpstr>
      <vt:lpstr>21 - Model - Common Errors 2</vt:lpstr>
      <vt:lpstr>Error Answers</vt:lpstr>
      <vt:lpstr>'1 - Historical Income Statement'!Print_Area</vt:lpstr>
      <vt:lpstr>'10 - Long-Term Debt'!Print_Area</vt:lpstr>
      <vt:lpstr>'11 - Connect CFS to Cash'!Print_Area</vt:lpstr>
      <vt:lpstr>'12 - Interest Income &amp; Expense'!Print_Area</vt:lpstr>
      <vt:lpstr>'13 - Visual Model Checks'!Print_Area</vt:lpstr>
      <vt:lpstr>'14 - EPS Mechanics'!Print_Area</vt:lpstr>
      <vt:lpstr>'15 - Summary Page '!Print_Area</vt:lpstr>
      <vt:lpstr>'16 - Operating Cases'!Print_Area</vt:lpstr>
      <vt:lpstr>'17 - Sensitivity Analysis'!Print_Area</vt:lpstr>
      <vt:lpstr>'18 - 3SM --&gt; No Schedules'!Print_Area</vt:lpstr>
      <vt:lpstr>'19 - No Schedules --&gt; Mini'!Print_Area</vt:lpstr>
      <vt:lpstr>'2 - Revenue &amp; Expense Projs'!Print_Area</vt:lpstr>
      <vt:lpstr>'20 - Model - Common Errors 1'!Print_Area</vt:lpstr>
      <vt:lpstr>'21 - Model - Common Errors 2'!Print_Area</vt:lpstr>
      <vt:lpstr>'3 - Cash Flow Statement Setup'!Print_Area</vt:lpstr>
      <vt:lpstr>'4 - Historical BS + Wkg Capital'!Print_Area</vt:lpstr>
      <vt:lpstr>'5 - Other Asset &amp; Liabilities'!Print_Area</vt:lpstr>
      <vt:lpstr>'6 - Property, Plant &amp; Equipment'!Print_Area</vt:lpstr>
      <vt:lpstr>'7 - Common &amp; Treasury Stock'!Print_Area</vt:lpstr>
      <vt:lpstr>'8 - Retained Earnings'!Print_Area</vt:lpstr>
      <vt:lpstr>'9 - Revolving Credit Facility'!Print_Area</vt:lpstr>
      <vt:lpstr>'Completed Model'!Print_Area</vt:lpstr>
      <vt:lpstr>'Completed S&amp;S'!Print_Area</vt:lpstr>
      <vt:lpstr>'Mini Model Completed'!Print_Area</vt:lpstr>
      <vt:lpstr>'No Schedules Completed'!Print_Area</vt:lpstr>
      <vt:lpstr>'1 - Historical Income Statement'!Print_Titles</vt:lpstr>
      <vt:lpstr>'10 - Long-Term Debt'!Print_Titles</vt:lpstr>
      <vt:lpstr>'11 - Connect CFS to Cash'!Print_Titles</vt:lpstr>
      <vt:lpstr>'12 - Interest Income &amp; Expense'!Print_Titles</vt:lpstr>
      <vt:lpstr>'13 - Visual Model Checks'!Print_Titles</vt:lpstr>
      <vt:lpstr>'14 - EPS Mechanics'!Print_Titles</vt:lpstr>
      <vt:lpstr>'15 - Summary Page '!Print_Titles</vt:lpstr>
      <vt:lpstr>'16 - Operating Cases'!Print_Titles</vt:lpstr>
      <vt:lpstr>'17 - Sensitivity Analysis'!Print_Titles</vt:lpstr>
      <vt:lpstr>'18 - 3SM --&gt; No Schedules'!Print_Titles</vt:lpstr>
      <vt:lpstr>'19 - No Schedules --&gt; Mini'!Print_Titles</vt:lpstr>
      <vt:lpstr>'2 - Revenue &amp; Expense Projs'!Print_Titles</vt:lpstr>
      <vt:lpstr>'20 - Model - Common Errors 1'!Print_Titles</vt:lpstr>
      <vt:lpstr>'21 - Model - Common Errors 2'!Print_Titles</vt:lpstr>
      <vt:lpstr>'3 - Cash Flow Statement Setup'!Print_Titles</vt:lpstr>
      <vt:lpstr>'4 - Historical BS + Wkg Capital'!Print_Titles</vt:lpstr>
      <vt:lpstr>'5 - Other Asset &amp; Liabilities'!Print_Titles</vt:lpstr>
      <vt:lpstr>'6 - Property, Plant &amp; Equipment'!Print_Titles</vt:lpstr>
      <vt:lpstr>'7 - Common &amp; Treasury Stock'!Print_Titles</vt:lpstr>
      <vt:lpstr>'8 - Retained Earnings'!Print_Titles</vt:lpstr>
      <vt:lpstr>'9 - Revolving Credit Facility'!Print_Titles</vt:lpstr>
      <vt:lpstr>'Completed Model'!Print_Titles</vt:lpstr>
      <vt:lpstr>'Completed S&amp;S'!Print_Titles</vt:lpstr>
      <vt:lpstr>'Mini Model Completed'!Print_Titles</vt:lpstr>
      <vt:lpstr>'No Schedules Completed'!Print_Titles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Kimpel</dc:creator>
  <cp:lastModifiedBy>Michael Kimpel</cp:lastModifiedBy>
  <cp:lastPrinted>2021-03-13T18:07:29Z</cp:lastPrinted>
  <dcterms:created xsi:type="dcterms:W3CDTF">2021-03-09T18:48:33Z</dcterms:created>
  <dcterms:modified xsi:type="dcterms:W3CDTF">2021-07-10T15:03:43Z</dcterms:modified>
</cp:coreProperties>
</file>