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hael Kimpel\Dropbox (Personal)\FQ\Courses\LBO\"/>
    </mc:Choice>
  </mc:AlternateContent>
  <xr:revisionPtr revIDLastSave="0" documentId="13_ncr:1_{30C2B30A-9C26-4D33-8DB0-1F82860BB375}" xr6:coauthVersionLast="45" xr6:coauthVersionMax="45" xr10:uidLastSave="{00000000-0000-0000-0000-000000000000}"/>
  <bookViews>
    <workbookView xWindow="-120" yWindow="-120" windowWidth="29040" windowHeight="15840" xr2:uid="{53C03466-E5A8-4E44-B183-69AF8A94C0B2}"/>
  </bookViews>
  <sheets>
    <sheet name="1 - Tx Assumptions and S&amp;U" sheetId="21" r:id="rId1"/>
    <sheet name="2 - Def Fin Fees" sheetId="20" r:id="rId2"/>
    <sheet name="3 - Income Statement" sheetId="19" r:id="rId3"/>
    <sheet name="4 - PF BS" sheetId="18" r:id="rId4"/>
    <sheet name="5 - BS Rollforward" sheetId="17" r:id="rId5"/>
    <sheet name="6 - CFS Setup" sheetId="16" r:id="rId6"/>
    <sheet name="7 - Debt Waterfall Setup" sheetId="15" r:id="rId7"/>
    <sheet name="8 - Debt Table - RCF" sheetId="14" r:id="rId8"/>
    <sheet name="9 - Debt Table - 1L TL" sheetId="13" r:id="rId9"/>
    <sheet name="10 - Debt Table - 2L TL" sheetId="12" r:id="rId10"/>
    <sheet name="11 - Debt Table - Notes" sheetId="11" r:id="rId11"/>
    <sheet name="12 - Finalize CFS" sheetId="10" r:id="rId12"/>
    <sheet name="13 - Int Exp &amp; Inc Summary" sheetId="8" r:id="rId13"/>
    <sheet name="14 - Exit &amp; Returns" sheetId="7" r:id="rId14"/>
    <sheet name="15 - Summary Page" sheetId="22" r:id="rId15"/>
    <sheet name="16 - Checks" sheetId="6" r:id="rId16"/>
    <sheet name="17 - Completed Model" sheetId="23" r:id="rId17"/>
    <sheet name="18 - Model w Cash+Debt - EMPTY" sheetId="24" r:id="rId18"/>
    <sheet name="18 - Model w Cash+Debt - DONE" sheetId="28" r:id="rId19"/>
    <sheet name="19 - Model Public - EMPTY" sheetId="26" r:id="rId20"/>
    <sheet name="19 - Model Public - DONE" sheetId="29" r:id="rId21"/>
  </sheets>
  <definedNames>
    <definedName name="MLNK42b588c23b2445d58d01794b1bf2e03d" localSheetId="0" hidden="1">'1 - Tx Assumptions and S&amp;U'!$1:$1048576</definedName>
    <definedName name="MLNK42b588c23b2445d58d01794b1bf2e03d" localSheetId="9" hidden="1">'10 - Debt Table - 2L TL'!$1:$1048576</definedName>
    <definedName name="MLNK42b588c23b2445d58d01794b1bf2e03d" localSheetId="10" hidden="1">'11 - Debt Table - Notes'!$1:$1048576</definedName>
    <definedName name="MLNK42b588c23b2445d58d01794b1bf2e03d" localSheetId="11" hidden="1">'12 - Finalize CFS'!$1:$1048576</definedName>
    <definedName name="MLNK42b588c23b2445d58d01794b1bf2e03d" localSheetId="12" hidden="1">'13 - Int Exp &amp; Inc Summary'!$1:$1048576</definedName>
    <definedName name="MLNK42b588c23b2445d58d01794b1bf2e03d" localSheetId="13" hidden="1">'14 - Exit &amp; Returns'!$1:$1048576</definedName>
    <definedName name="MLNK42b588c23b2445d58d01794b1bf2e03d" localSheetId="14" hidden="1">'15 - Summary Page'!$1:$1048576</definedName>
    <definedName name="MLNK42b588c23b2445d58d01794b1bf2e03d" localSheetId="15" hidden="1">'16 - Checks'!$1:$1048576</definedName>
    <definedName name="MLNK42b588c23b2445d58d01794b1bf2e03d" localSheetId="16" hidden="1">'17 - Completed Model'!$1:$1048576</definedName>
    <definedName name="MLNK42b588c23b2445d58d01794b1bf2e03d" localSheetId="18" hidden="1">'18 - Model w Cash+Debt - DONE'!$1:$1048576</definedName>
    <definedName name="MLNK42b588c23b2445d58d01794b1bf2e03d" localSheetId="17" hidden="1">'18 - Model w Cash+Debt - EMPTY'!$1:$1048576</definedName>
    <definedName name="MLNK42b588c23b2445d58d01794b1bf2e03d" localSheetId="20" hidden="1">'19 - Model Public - DONE'!$1:$1048576</definedName>
    <definedName name="MLNK42b588c23b2445d58d01794b1bf2e03d" localSheetId="19" hidden="1">'19 - Model Public - EMPTY'!$1:$1048576</definedName>
    <definedName name="MLNK42b588c23b2445d58d01794b1bf2e03d" localSheetId="1" hidden="1">'2 - Def Fin Fees'!$1:$1048576</definedName>
    <definedName name="MLNK42b588c23b2445d58d01794b1bf2e03d" localSheetId="2" hidden="1">'3 - Income Statement'!$1:$1048576</definedName>
    <definedName name="MLNK42b588c23b2445d58d01794b1bf2e03d" localSheetId="3" hidden="1">'4 - PF BS'!$1:$1048576</definedName>
    <definedName name="MLNK42b588c23b2445d58d01794b1bf2e03d" localSheetId="4" hidden="1">'5 - BS Rollforward'!$1:$1048576</definedName>
    <definedName name="MLNK42b588c23b2445d58d01794b1bf2e03d" localSheetId="5" hidden="1">'6 - CFS Setup'!$1:$1048576</definedName>
    <definedName name="MLNK42b588c23b2445d58d01794b1bf2e03d" localSheetId="6" hidden="1">'7 - Debt Waterfall Setup'!$1:$1048576</definedName>
    <definedName name="MLNK42b588c23b2445d58d01794b1bf2e03d" localSheetId="7" hidden="1">'8 - Debt Table - RCF'!$1:$1048576</definedName>
    <definedName name="MLNK42b588c23b2445d58d01794b1bf2e03d" localSheetId="8" hidden="1">'9 - Debt Table - 1L TL'!$1:$1048576</definedName>
    <definedName name="MLNK42b588c23b2445d58d01794b1bf2e03d" hidden="1">#REF!</definedName>
    <definedName name="MLNKac0db6b3e30a4c46b6bc4b9f0e531a6d" localSheetId="0" hidden="1">'1 - Tx Assumptions and S&amp;U'!$K$300:$O$300</definedName>
    <definedName name="MLNKac0db6b3e30a4c46b6bc4b9f0e531a6d" localSheetId="9" hidden="1">'10 - Debt Table - 2L TL'!$K$300:$O$300</definedName>
    <definedName name="MLNKac0db6b3e30a4c46b6bc4b9f0e531a6d" localSheetId="10" hidden="1">'11 - Debt Table - Notes'!$K$300:$O$300</definedName>
    <definedName name="MLNKac0db6b3e30a4c46b6bc4b9f0e531a6d" localSheetId="11" hidden="1">'12 - Finalize CFS'!$K$300:$O$300</definedName>
    <definedName name="MLNKac0db6b3e30a4c46b6bc4b9f0e531a6d" localSheetId="12" hidden="1">'13 - Int Exp &amp; Inc Summary'!$K$300:$O$300</definedName>
    <definedName name="MLNKac0db6b3e30a4c46b6bc4b9f0e531a6d" localSheetId="13" hidden="1">'14 - Exit &amp; Returns'!$K$300:$O$300</definedName>
    <definedName name="MLNKac0db6b3e30a4c46b6bc4b9f0e531a6d" localSheetId="14" hidden="1">'15 - Summary Page'!$K$300:$O$300</definedName>
    <definedName name="MLNKac0db6b3e30a4c46b6bc4b9f0e531a6d" localSheetId="15" hidden="1">'16 - Checks'!$K$300:$O$300</definedName>
    <definedName name="MLNKac0db6b3e30a4c46b6bc4b9f0e531a6d" localSheetId="16" hidden="1">'17 - Completed Model'!$K$300:$O$300</definedName>
    <definedName name="MLNKac0db6b3e30a4c46b6bc4b9f0e531a6d" localSheetId="18" hidden="1">'18 - Model w Cash+Debt - DONE'!$K$300:$O$300</definedName>
    <definedName name="MLNKac0db6b3e30a4c46b6bc4b9f0e531a6d" localSheetId="17" hidden="1">'18 - Model w Cash+Debt - EMPTY'!$K$300:$O$300</definedName>
    <definedName name="MLNKac0db6b3e30a4c46b6bc4b9f0e531a6d" localSheetId="20" hidden="1">'19 - Model Public - DONE'!$K$303:$O$303</definedName>
    <definedName name="MLNKac0db6b3e30a4c46b6bc4b9f0e531a6d" localSheetId="19" hidden="1">'19 - Model Public - EMPTY'!$K$303:$O$303</definedName>
    <definedName name="MLNKac0db6b3e30a4c46b6bc4b9f0e531a6d" localSheetId="1" hidden="1">'2 - Def Fin Fees'!$K$300:$O$300</definedName>
    <definedName name="MLNKac0db6b3e30a4c46b6bc4b9f0e531a6d" localSheetId="2" hidden="1">'3 - Income Statement'!$K$300:$O$300</definedName>
    <definedName name="MLNKac0db6b3e30a4c46b6bc4b9f0e531a6d" localSheetId="3" hidden="1">'4 - PF BS'!$K$300:$O$300</definedName>
    <definedName name="MLNKac0db6b3e30a4c46b6bc4b9f0e531a6d" localSheetId="4" hidden="1">'5 - BS Rollforward'!$K$300:$O$300</definedName>
    <definedName name="MLNKac0db6b3e30a4c46b6bc4b9f0e531a6d" localSheetId="5" hidden="1">'6 - CFS Setup'!$K$300:$O$300</definedName>
    <definedName name="MLNKac0db6b3e30a4c46b6bc4b9f0e531a6d" localSheetId="6" hidden="1">'7 - Debt Waterfall Setup'!$K$300:$O$300</definedName>
    <definedName name="MLNKac0db6b3e30a4c46b6bc4b9f0e531a6d" localSheetId="7" hidden="1">'8 - Debt Table - RCF'!$K$300:$O$300</definedName>
    <definedName name="MLNKac0db6b3e30a4c46b6bc4b9f0e531a6d" localSheetId="8" hidden="1">'9 - Debt Table - 1L TL'!$K$300:$O$300</definedName>
    <definedName name="MLNKac0db6b3e30a4c46b6bc4b9f0e531a6d" hidden="1">#REF!</definedName>
    <definedName name="MLNKad91a84f38564ca19d1171ddce0bbb71" localSheetId="0" hidden="1">'1 - Tx Assumptions and S&amp;U'!$B$173:$O$173</definedName>
    <definedName name="MLNKad91a84f38564ca19d1171ddce0bbb71" localSheetId="9" hidden="1">'10 - Debt Table - 2L TL'!$B$173:$O$173</definedName>
    <definedName name="MLNKad91a84f38564ca19d1171ddce0bbb71" localSheetId="10" hidden="1">'11 - Debt Table - Notes'!$B$173:$O$173</definedName>
    <definedName name="MLNKad91a84f38564ca19d1171ddce0bbb71" localSheetId="11" hidden="1">'12 - Finalize CFS'!$B$173:$O$173</definedName>
    <definedName name="MLNKad91a84f38564ca19d1171ddce0bbb71" localSheetId="12" hidden="1">'13 - Int Exp &amp; Inc Summary'!$B$173:$O$173</definedName>
    <definedName name="MLNKad91a84f38564ca19d1171ddce0bbb71" localSheetId="13" hidden="1">'14 - Exit &amp; Returns'!$B$173:$O$173</definedName>
    <definedName name="MLNKad91a84f38564ca19d1171ddce0bbb71" localSheetId="14" hidden="1">'15 - Summary Page'!$B$173:$O$173</definedName>
    <definedName name="MLNKad91a84f38564ca19d1171ddce0bbb71" localSheetId="15" hidden="1">'16 - Checks'!$B$173:$O$173</definedName>
    <definedName name="MLNKad91a84f38564ca19d1171ddce0bbb71" localSheetId="16" hidden="1">'17 - Completed Model'!$B$173:$O$173</definedName>
    <definedName name="MLNKad91a84f38564ca19d1171ddce0bbb71" localSheetId="18" hidden="1">'18 - Model w Cash+Debt - DONE'!$B$173:$O$173</definedName>
    <definedName name="MLNKad91a84f38564ca19d1171ddce0bbb71" localSheetId="17" hidden="1">'18 - Model w Cash+Debt - EMPTY'!$B$173:$O$173</definedName>
    <definedName name="MLNKad91a84f38564ca19d1171ddce0bbb71" localSheetId="20" hidden="1">'19 - Model Public - DONE'!$B$176:$O$176</definedName>
    <definedName name="MLNKad91a84f38564ca19d1171ddce0bbb71" localSheetId="19" hidden="1">'19 - Model Public - EMPTY'!$B$176:$O$176</definedName>
    <definedName name="MLNKad91a84f38564ca19d1171ddce0bbb71" localSheetId="1" hidden="1">'2 - Def Fin Fees'!$B$173:$O$173</definedName>
    <definedName name="MLNKad91a84f38564ca19d1171ddce0bbb71" localSheetId="2" hidden="1">'3 - Income Statement'!$B$173:$O$173</definedName>
    <definedName name="MLNKad91a84f38564ca19d1171ddce0bbb71" localSheetId="3" hidden="1">'4 - PF BS'!$B$173:$O$173</definedName>
    <definedName name="MLNKad91a84f38564ca19d1171ddce0bbb71" localSheetId="4" hidden="1">'5 - BS Rollforward'!$B$173:$O$173</definedName>
    <definedName name="MLNKad91a84f38564ca19d1171ddce0bbb71" localSheetId="5" hidden="1">'6 - CFS Setup'!$B$173:$O$173</definedName>
    <definedName name="MLNKad91a84f38564ca19d1171ddce0bbb71" localSheetId="6" hidden="1">'7 - Debt Waterfall Setup'!$B$173:$O$173</definedName>
    <definedName name="MLNKad91a84f38564ca19d1171ddce0bbb71" localSheetId="7" hidden="1">'8 - Debt Table - RCF'!$B$173:$O$173</definedName>
    <definedName name="MLNKad91a84f38564ca19d1171ddce0bbb71" localSheetId="8" hidden="1">'9 - Debt Table - 1L TL'!$B$173:$O$173</definedName>
    <definedName name="MLNKad91a84f38564ca19d1171ddce0bbb71" hidden="1">#REF!</definedName>
    <definedName name="_xlnm.Print_Area" localSheetId="0">'1 - Tx Assumptions and S&amp;U'!$B$44:$O$342</definedName>
    <definedName name="_xlnm.Print_Area" localSheetId="9">'10 - Debt Table - 2L TL'!$B$44:$O$342</definedName>
    <definedName name="_xlnm.Print_Area" localSheetId="10">'11 - Debt Table - Notes'!$B$44:$O$342</definedName>
    <definedName name="_xlnm.Print_Area" localSheetId="11">'12 - Finalize CFS'!$B$44:$O$342</definedName>
    <definedName name="_xlnm.Print_Area" localSheetId="12">'13 - Int Exp &amp; Inc Summary'!$B$44:$O$342</definedName>
    <definedName name="_xlnm.Print_Area" localSheetId="13">'14 - Exit &amp; Returns'!$B$44:$O$342</definedName>
    <definedName name="_xlnm.Print_Area" localSheetId="14">'15 - Summary Page'!$B$44:$O$342</definedName>
    <definedName name="_xlnm.Print_Area" localSheetId="15">'16 - Checks'!$B$44:$O$342</definedName>
    <definedName name="_xlnm.Print_Area" localSheetId="16">'17 - Completed Model'!$B$44:$O$342</definedName>
    <definedName name="_xlnm.Print_Area" localSheetId="18">'18 - Model w Cash+Debt - DONE'!$B$44:$O$342</definedName>
    <definedName name="_xlnm.Print_Area" localSheetId="17">'18 - Model w Cash+Debt - EMPTY'!$B$44:$O$342</definedName>
    <definedName name="_xlnm.Print_Area" localSheetId="20">'19 - Model Public - DONE'!$B$46:$O$345</definedName>
    <definedName name="_xlnm.Print_Area" localSheetId="19">'19 - Model Public - EMPTY'!$B$46:$O$345</definedName>
    <definedName name="_xlnm.Print_Area" localSheetId="1">'2 - Def Fin Fees'!$B$44:$O$342</definedName>
    <definedName name="_xlnm.Print_Area" localSheetId="2">'3 - Income Statement'!$B$44:$O$342</definedName>
    <definedName name="_xlnm.Print_Area" localSheetId="3">'4 - PF BS'!$B$44:$O$342</definedName>
    <definedName name="_xlnm.Print_Area" localSheetId="4">'5 - BS Rollforward'!$B$44:$O$342</definedName>
    <definedName name="_xlnm.Print_Area" localSheetId="5">'6 - CFS Setup'!$B$44:$O$342</definedName>
    <definedName name="_xlnm.Print_Area" localSheetId="6">'7 - Debt Waterfall Setup'!$B$44:$O$342</definedName>
    <definedName name="_xlnm.Print_Area" localSheetId="7">'8 - Debt Table - RCF'!$B$44:$O$342</definedName>
    <definedName name="_xlnm.Print_Area" localSheetId="8">'9 - Debt Table - 1L TL'!$B$44:$O$342</definedName>
    <definedName name="_xlnm.Print_Titles" localSheetId="0">'1 - Tx Assumptions and S&amp;U'!$42:$43</definedName>
    <definedName name="_xlnm.Print_Titles" localSheetId="9">'10 - Debt Table - 2L TL'!$42:$43</definedName>
    <definedName name="_xlnm.Print_Titles" localSheetId="10">'11 - Debt Table - Notes'!$42:$43</definedName>
    <definedName name="_xlnm.Print_Titles" localSheetId="11">'12 - Finalize CFS'!$42:$43</definedName>
    <definedName name="_xlnm.Print_Titles" localSheetId="12">'13 - Int Exp &amp; Inc Summary'!$42:$43</definedName>
    <definedName name="_xlnm.Print_Titles" localSheetId="13">'14 - Exit &amp; Returns'!$42:$43</definedName>
    <definedName name="_xlnm.Print_Titles" localSheetId="14">'15 - Summary Page'!$42:$43</definedName>
    <definedName name="_xlnm.Print_Titles" localSheetId="15">'16 - Checks'!$42:$43</definedName>
    <definedName name="_xlnm.Print_Titles" localSheetId="16">'17 - Completed Model'!$42:$43</definedName>
    <definedName name="_xlnm.Print_Titles" localSheetId="18">'18 - Model w Cash+Debt - DONE'!$42:$43</definedName>
    <definedName name="_xlnm.Print_Titles" localSheetId="17">'18 - Model w Cash+Debt - EMPTY'!$42:$43</definedName>
    <definedName name="_xlnm.Print_Titles" localSheetId="20">'19 - Model Public - DONE'!$44:$45</definedName>
    <definedName name="_xlnm.Print_Titles" localSheetId="19">'19 - Model Public - EMPTY'!$44:$45</definedName>
    <definedName name="_xlnm.Print_Titles" localSheetId="1">'2 - Def Fin Fees'!$42:$43</definedName>
    <definedName name="_xlnm.Print_Titles" localSheetId="2">'3 - Income Statement'!$42:$43</definedName>
    <definedName name="_xlnm.Print_Titles" localSheetId="3">'4 - PF BS'!$42:$43</definedName>
    <definedName name="_xlnm.Print_Titles" localSheetId="4">'5 - BS Rollforward'!$42:$43</definedName>
    <definedName name="_xlnm.Print_Titles" localSheetId="5">'6 - CFS Setup'!$42:$43</definedName>
    <definedName name="_xlnm.Print_Titles" localSheetId="6">'7 - Debt Waterfall Setup'!$42:$43</definedName>
    <definedName name="_xlnm.Print_Titles" localSheetId="7">'8 - Debt Table - RCF'!$42:$43</definedName>
    <definedName name="_xlnm.Print_Titles" localSheetId="8">'9 - Debt Table - 1L TL'!$42:$43</definedName>
  </definedNames>
  <calcPr calcId="191029"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9" l="1"/>
  <c r="O73" i="29"/>
  <c r="N73" i="29"/>
  <c r="M73" i="29"/>
  <c r="L73" i="29"/>
  <c r="K73" i="29"/>
  <c r="O72" i="29"/>
  <c r="N72" i="29"/>
  <c r="M72" i="29"/>
  <c r="L72" i="29"/>
  <c r="K72" i="29"/>
  <c r="K71" i="29"/>
  <c r="O69" i="29"/>
  <c r="N69" i="29"/>
  <c r="M69" i="29"/>
  <c r="L69" i="29"/>
  <c r="O68" i="29"/>
  <c r="N68" i="29"/>
  <c r="M68" i="29"/>
  <c r="L68" i="29"/>
  <c r="K68" i="29"/>
  <c r="K69" i="29" s="1"/>
  <c r="K68" i="26"/>
  <c r="L68" i="26"/>
  <c r="M68" i="26"/>
  <c r="N68" i="26"/>
  <c r="O68" i="26"/>
  <c r="K69" i="26"/>
  <c r="L69" i="26"/>
  <c r="M69" i="26"/>
  <c r="N69" i="26"/>
  <c r="O69" i="26"/>
  <c r="K71" i="26"/>
  <c r="K72" i="26"/>
  <c r="L72" i="26"/>
  <c r="M72" i="26"/>
  <c r="N72" i="26"/>
  <c r="O72" i="26"/>
  <c r="K73" i="26"/>
  <c r="L73" i="26"/>
  <c r="M73" i="26"/>
  <c r="N73" i="26"/>
  <c r="O73" i="26"/>
  <c r="O70" i="28"/>
  <c r="N70" i="28"/>
  <c r="M70" i="28"/>
  <c r="L70" i="28"/>
  <c r="K70" i="28"/>
  <c r="O69" i="28"/>
  <c r="N69" i="28"/>
  <c r="M69" i="28"/>
  <c r="L69" i="28"/>
  <c r="K69" i="28"/>
  <c r="K68" i="28"/>
  <c r="O66" i="28"/>
  <c r="N66" i="28"/>
  <c r="M66" i="28"/>
  <c r="L66" i="28"/>
  <c r="O65" i="28"/>
  <c r="N65" i="28"/>
  <c r="M65" i="28"/>
  <c r="L65" i="28"/>
  <c r="K65" i="28"/>
  <c r="K66" i="28" s="1"/>
  <c r="O70" i="24"/>
  <c r="N70" i="24"/>
  <c r="M70" i="24"/>
  <c r="L70" i="24"/>
  <c r="K70" i="24"/>
  <c r="O69" i="24"/>
  <c r="N69" i="24"/>
  <c r="M69" i="24"/>
  <c r="L69" i="24"/>
  <c r="K69" i="24"/>
  <c r="K68" i="24"/>
  <c r="O66" i="24"/>
  <c r="N66" i="24"/>
  <c r="M66" i="24"/>
  <c r="L66" i="24"/>
  <c r="O65" i="24"/>
  <c r="N65" i="24"/>
  <c r="M65" i="24"/>
  <c r="L65" i="24"/>
  <c r="K65" i="24"/>
  <c r="K66" i="24" s="1"/>
  <c r="L70" i="6"/>
  <c r="M70" i="6"/>
  <c r="N70" i="6"/>
  <c r="O70" i="6"/>
  <c r="K70" i="6"/>
  <c r="J335" i="29" l="1"/>
  <c r="O327" i="29"/>
  <c r="N327" i="29"/>
  <c r="M327" i="29"/>
  <c r="L327" i="29"/>
  <c r="K327" i="29"/>
  <c r="M287" i="29"/>
  <c r="L287" i="29"/>
  <c r="K287" i="29"/>
  <c r="M276" i="29"/>
  <c r="L276" i="29"/>
  <c r="K276" i="29"/>
  <c r="M262" i="29"/>
  <c r="L262" i="29"/>
  <c r="K262" i="29"/>
  <c r="I261" i="29"/>
  <c r="M254" i="29"/>
  <c r="N254" i="29" s="1"/>
  <c r="L254" i="29"/>
  <c r="B247" i="29"/>
  <c r="B291" i="29" s="1"/>
  <c r="B317" i="29" s="1"/>
  <c r="O239" i="29"/>
  <c r="N239" i="29"/>
  <c r="M239" i="29"/>
  <c r="L239" i="29"/>
  <c r="K239" i="29"/>
  <c r="B209" i="29"/>
  <c r="B208" i="29"/>
  <c r="B207" i="29"/>
  <c r="B206" i="29"/>
  <c r="B205" i="29"/>
  <c r="B204" i="29"/>
  <c r="B203" i="29"/>
  <c r="B202" i="29"/>
  <c r="G186" i="29"/>
  <c r="E186" i="29"/>
  <c r="G181" i="29"/>
  <c r="F181" i="29"/>
  <c r="E181" i="29"/>
  <c r="G179" i="29"/>
  <c r="F179" i="29"/>
  <c r="G176" i="29"/>
  <c r="F176" i="29"/>
  <c r="E176" i="29"/>
  <c r="B176" i="29"/>
  <c r="G175" i="29"/>
  <c r="G185" i="29" s="1"/>
  <c r="F175" i="29"/>
  <c r="F185" i="29" s="1"/>
  <c r="E175" i="29"/>
  <c r="E185" i="29" s="1"/>
  <c r="B175" i="29"/>
  <c r="G174" i="29"/>
  <c r="G187" i="29" s="1"/>
  <c r="F174" i="29"/>
  <c r="F187" i="29" s="1"/>
  <c r="E174" i="29"/>
  <c r="E179" i="29" s="1"/>
  <c r="B174" i="29"/>
  <c r="G166" i="29"/>
  <c r="F166" i="29"/>
  <c r="E166" i="29"/>
  <c r="B165" i="29"/>
  <c r="B164" i="29"/>
  <c r="B246" i="29" s="1"/>
  <c r="B280" i="29" s="1"/>
  <c r="B316" i="29" s="1"/>
  <c r="B163" i="29"/>
  <c r="B230" i="29" s="1"/>
  <c r="B162" i="29"/>
  <c r="B244" i="29" s="1"/>
  <c r="B256" i="29" s="1"/>
  <c r="I161" i="29"/>
  <c r="J161" i="29" s="1"/>
  <c r="J159" i="29"/>
  <c r="G157" i="29"/>
  <c r="G169" i="29" s="1"/>
  <c r="F157" i="29"/>
  <c r="F169" i="29" s="1"/>
  <c r="E157" i="29"/>
  <c r="E169" i="29" s="1"/>
  <c r="J156" i="29"/>
  <c r="J155" i="29"/>
  <c r="J154" i="29"/>
  <c r="J157" i="29" s="1"/>
  <c r="J151" i="29"/>
  <c r="J148" i="29"/>
  <c r="G146" i="29"/>
  <c r="G152" i="29" s="1"/>
  <c r="G171" i="29" s="1"/>
  <c r="F146" i="29"/>
  <c r="F152" i="29" s="1"/>
  <c r="F171" i="29" s="1"/>
  <c r="E146" i="29"/>
  <c r="E152" i="29" s="1"/>
  <c r="E171" i="29" s="1"/>
  <c r="J145" i="29"/>
  <c r="J144" i="29"/>
  <c r="J143" i="29"/>
  <c r="I142" i="29"/>
  <c r="J142" i="29" s="1"/>
  <c r="J136" i="29"/>
  <c r="K136" i="29" s="1"/>
  <c r="I136" i="29"/>
  <c r="H136" i="29"/>
  <c r="J135" i="29"/>
  <c r="K135" i="29" s="1"/>
  <c r="I135" i="29"/>
  <c r="H135" i="29"/>
  <c r="J131" i="29"/>
  <c r="K131" i="29" s="1"/>
  <c r="L131" i="29" s="1"/>
  <c r="M131" i="29" s="1"/>
  <c r="N131" i="29" s="1"/>
  <c r="O131" i="29" s="1"/>
  <c r="I131" i="29"/>
  <c r="H131" i="29"/>
  <c r="J129" i="29"/>
  <c r="I129" i="29"/>
  <c r="J119" i="29"/>
  <c r="J121" i="29" s="1"/>
  <c r="J123" i="29" s="1"/>
  <c r="I119" i="29"/>
  <c r="I121" i="29" s="1"/>
  <c r="I123" i="29" s="1"/>
  <c r="J114" i="29"/>
  <c r="J116" i="29" s="1"/>
  <c r="I114" i="29"/>
  <c r="I116" i="29" s="1"/>
  <c r="J111" i="29"/>
  <c r="I111" i="29"/>
  <c r="H111" i="29"/>
  <c r="H114" i="29" s="1"/>
  <c r="J109" i="29"/>
  <c r="J130" i="29" s="1"/>
  <c r="K130" i="29" s="1"/>
  <c r="I109" i="29"/>
  <c r="I130" i="29" s="1"/>
  <c r="H109" i="29"/>
  <c r="H130" i="29" s="1"/>
  <c r="K107" i="29"/>
  <c r="L107" i="29" s="1"/>
  <c r="L106" i="29"/>
  <c r="L195" i="29" s="1"/>
  <c r="K106" i="29"/>
  <c r="K195" i="29" s="1"/>
  <c r="J106" i="29"/>
  <c r="I106" i="29" s="1"/>
  <c r="B92" i="29"/>
  <c r="B90" i="29"/>
  <c r="B88" i="29"/>
  <c r="B87" i="29"/>
  <c r="B86" i="29"/>
  <c r="K63" i="29"/>
  <c r="I63" i="29"/>
  <c r="K62" i="29"/>
  <c r="J62" i="29"/>
  <c r="J63" i="29" s="1"/>
  <c r="I62" i="29"/>
  <c r="H62" i="29"/>
  <c r="L61" i="29"/>
  <c r="K61" i="29"/>
  <c r="J61" i="29"/>
  <c r="I61" i="29" s="1"/>
  <c r="H61" i="29" s="1"/>
  <c r="M51" i="29"/>
  <c r="S49" i="29" s="1"/>
  <c r="M50" i="29"/>
  <c r="S48" i="29" s="1"/>
  <c r="B44" i="29"/>
  <c r="F39" i="29"/>
  <c r="F38" i="29"/>
  <c r="F37" i="29"/>
  <c r="J36" i="29"/>
  <c r="F36" i="29"/>
  <c r="L35" i="29"/>
  <c r="K35" i="29"/>
  <c r="K34" i="29"/>
  <c r="K324" i="29" s="1"/>
  <c r="E30" i="29"/>
  <c r="E29" i="29"/>
  <c r="E31" i="29" s="1"/>
  <c r="H149" i="29" s="1"/>
  <c r="J149" i="29" s="1"/>
  <c r="K149" i="29" s="1"/>
  <c r="L149" i="29" s="1"/>
  <c r="M149" i="29" s="1"/>
  <c r="N149" i="29" s="1"/>
  <c r="O149" i="29" s="1"/>
  <c r="E23" i="29"/>
  <c r="F50" i="29" s="1"/>
  <c r="E22" i="29"/>
  <c r="E24" i="29" s="1"/>
  <c r="L9" i="29"/>
  <c r="K9" i="29"/>
  <c r="I158" i="28"/>
  <c r="J158" i="28" s="1"/>
  <c r="J81" i="28" s="1"/>
  <c r="I139" i="28"/>
  <c r="J332" i="28"/>
  <c r="O324" i="28"/>
  <c r="N324" i="28"/>
  <c r="M324" i="28"/>
  <c r="L324" i="28"/>
  <c r="K324" i="28"/>
  <c r="K322" i="28"/>
  <c r="K300" i="28"/>
  <c r="L284" i="28"/>
  <c r="K284" i="28"/>
  <c r="L273" i="28"/>
  <c r="K273" i="28"/>
  <c r="L259" i="28"/>
  <c r="K259" i="28"/>
  <c r="I258" i="28"/>
  <c r="M251" i="28"/>
  <c r="M273" i="28" s="1"/>
  <c r="L251" i="28"/>
  <c r="B244" i="28"/>
  <c r="B288" i="28" s="1"/>
  <c r="B314" i="28" s="1"/>
  <c r="B243" i="28"/>
  <c r="B277" i="28" s="1"/>
  <c r="B313" i="28" s="1"/>
  <c r="B242" i="28"/>
  <c r="B266" i="28" s="1"/>
  <c r="B312" i="28" s="1"/>
  <c r="O236" i="28"/>
  <c r="N236" i="28"/>
  <c r="M236" i="28"/>
  <c r="L236" i="28"/>
  <c r="K236" i="28"/>
  <c r="K225" i="28"/>
  <c r="B206" i="28"/>
  <c r="B205" i="28"/>
  <c r="B204" i="28"/>
  <c r="B203" i="28"/>
  <c r="B202" i="28"/>
  <c r="B201" i="28"/>
  <c r="B200" i="28"/>
  <c r="B199" i="28"/>
  <c r="F186" i="28"/>
  <c r="F187" i="28" s="1"/>
  <c r="E186" i="28"/>
  <c r="E187" i="28" s="1"/>
  <c r="G184" i="28"/>
  <c r="F184" i="28"/>
  <c r="E183" i="28"/>
  <c r="F181" i="28"/>
  <c r="E181" i="28"/>
  <c r="G178" i="28"/>
  <c r="F178" i="28"/>
  <c r="E178" i="28"/>
  <c r="G176" i="28"/>
  <c r="F176" i="28"/>
  <c r="E176" i="28"/>
  <c r="G173" i="28"/>
  <c r="F173" i="28"/>
  <c r="F182" i="28" s="1"/>
  <c r="E173" i="28"/>
  <c r="B173" i="28"/>
  <c r="G172" i="28"/>
  <c r="G182" i="28" s="1"/>
  <c r="F172" i="28"/>
  <c r="F177" i="28" s="1"/>
  <c r="E172" i="28"/>
  <c r="E182" i="28" s="1"/>
  <c r="B172" i="28"/>
  <c r="G171" i="28"/>
  <c r="G183" i="28" s="1"/>
  <c r="F171" i="28"/>
  <c r="F183" i="28" s="1"/>
  <c r="E171" i="28"/>
  <c r="E184" i="28" s="1"/>
  <c r="B171" i="28"/>
  <c r="E166" i="28"/>
  <c r="G163" i="28"/>
  <c r="E22" i="28" s="1"/>
  <c r="M49" i="28" s="1"/>
  <c r="F163" i="28"/>
  <c r="E163" i="28"/>
  <c r="B162" i="28"/>
  <c r="B161" i="28"/>
  <c r="B160" i="28"/>
  <c r="B227" i="28" s="1"/>
  <c r="B159" i="28"/>
  <c r="B241" i="28" s="1"/>
  <c r="B253" i="28" s="1"/>
  <c r="J156" i="28"/>
  <c r="G154" i="28"/>
  <c r="F154" i="28"/>
  <c r="E154" i="28"/>
  <c r="J153" i="28"/>
  <c r="J152" i="28"/>
  <c r="J151" i="28"/>
  <c r="J154" i="28" s="1"/>
  <c r="G149" i="28"/>
  <c r="J148" i="28"/>
  <c r="J145" i="28"/>
  <c r="G143" i="28"/>
  <c r="F143" i="28"/>
  <c r="F149" i="28" s="1"/>
  <c r="E143" i="28"/>
  <c r="E149" i="28" s="1"/>
  <c r="J142" i="28"/>
  <c r="J141" i="28"/>
  <c r="J140" i="28"/>
  <c r="J139" i="28"/>
  <c r="K301" i="28" s="1"/>
  <c r="K138" i="28"/>
  <c r="K133" i="28"/>
  <c r="K117" i="28" s="1"/>
  <c r="K194" i="28" s="1"/>
  <c r="J133" i="28"/>
  <c r="I133" i="28"/>
  <c r="H133" i="28"/>
  <c r="J132" i="28"/>
  <c r="K132" i="28" s="1"/>
  <c r="L132" i="28" s="1"/>
  <c r="I132" i="28"/>
  <c r="H132" i="28"/>
  <c r="L128" i="28"/>
  <c r="M128" i="28" s="1"/>
  <c r="N128" i="28" s="1"/>
  <c r="O128" i="28" s="1"/>
  <c r="K128" i="28"/>
  <c r="J128" i="28"/>
  <c r="I128" i="28"/>
  <c r="H128" i="28"/>
  <c r="J127" i="28"/>
  <c r="K127" i="28" s="1"/>
  <c r="L127" i="28" s="1"/>
  <c r="M127" i="28" s="1"/>
  <c r="N127" i="28" s="1"/>
  <c r="O127" i="28" s="1"/>
  <c r="J126" i="28"/>
  <c r="I126" i="28"/>
  <c r="K123" i="28"/>
  <c r="K212" i="28" s="1"/>
  <c r="K213" i="28" s="1"/>
  <c r="J116" i="28"/>
  <c r="J118" i="28" s="1"/>
  <c r="J120" i="28" s="1"/>
  <c r="E19" i="28" s="1"/>
  <c r="I116" i="28"/>
  <c r="I118" i="28" s="1"/>
  <c r="I120" i="28" s="1"/>
  <c r="H116" i="28"/>
  <c r="H118" i="28" s="1"/>
  <c r="H120" i="28" s="1"/>
  <c r="H111" i="28"/>
  <c r="H113" i="28" s="1"/>
  <c r="I108" i="28"/>
  <c r="I111" i="28" s="1"/>
  <c r="H108" i="28"/>
  <c r="J106" i="28"/>
  <c r="J108" i="28" s="1"/>
  <c r="J111" i="28" s="1"/>
  <c r="I106" i="28"/>
  <c r="I127" i="28" s="1"/>
  <c r="H106" i="28"/>
  <c r="H127" i="28" s="1"/>
  <c r="L104" i="28"/>
  <c r="L59" i="28" s="1"/>
  <c r="K104" i="28"/>
  <c r="L103" i="28"/>
  <c r="K103" i="28"/>
  <c r="K192" i="28" s="1"/>
  <c r="B89" i="28"/>
  <c r="B87" i="28"/>
  <c r="B85" i="28"/>
  <c r="B84" i="28"/>
  <c r="B83" i="28"/>
  <c r="J60" i="28"/>
  <c r="I60" i="28"/>
  <c r="J59" i="28"/>
  <c r="I59" i="28"/>
  <c r="H59" i="28"/>
  <c r="K58" i="28"/>
  <c r="J58" i="28" s="1"/>
  <c r="I58" i="28" s="1"/>
  <c r="H58" i="28" s="1"/>
  <c r="B42" i="28"/>
  <c r="F37" i="28"/>
  <c r="F36" i="28"/>
  <c r="F35" i="28"/>
  <c r="J34" i="28"/>
  <c r="I34" i="28" s="1"/>
  <c r="K34" i="28" s="1"/>
  <c r="F34" i="28"/>
  <c r="K33" i="28"/>
  <c r="K32" i="28"/>
  <c r="E28" i="28"/>
  <c r="E23" i="28"/>
  <c r="K9" i="28"/>
  <c r="S47" i="24"/>
  <c r="S46" i="24"/>
  <c r="S48" i="24" s="1"/>
  <c r="S50" i="26"/>
  <c r="S49" i="26"/>
  <c r="S48" i="26"/>
  <c r="M26" i="26"/>
  <c r="J335" i="26"/>
  <c r="O327" i="26"/>
  <c r="N327" i="26"/>
  <c r="M327" i="26"/>
  <c r="L327" i="26"/>
  <c r="K327" i="26"/>
  <c r="K287" i="26"/>
  <c r="K276" i="26"/>
  <c r="K262" i="26"/>
  <c r="I261" i="26"/>
  <c r="L254" i="26"/>
  <c r="M254" i="26" s="1"/>
  <c r="O239" i="26"/>
  <c r="N239" i="26"/>
  <c r="M239" i="26"/>
  <c r="L239" i="26"/>
  <c r="K239" i="26"/>
  <c r="B209" i="26"/>
  <c r="B208" i="26"/>
  <c r="B207" i="26"/>
  <c r="B206" i="26"/>
  <c r="B205" i="26"/>
  <c r="B204" i="26"/>
  <c r="B203" i="26"/>
  <c r="B202" i="26"/>
  <c r="G176" i="26"/>
  <c r="F176" i="26"/>
  <c r="E176" i="26"/>
  <c r="B176" i="26"/>
  <c r="G175" i="26"/>
  <c r="G185" i="26" s="1"/>
  <c r="F175" i="26"/>
  <c r="E175" i="26"/>
  <c r="E185" i="26" s="1"/>
  <c r="B175" i="26"/>
  <c r="G174" i="26"/>
  <c r="G187" i="26" s="1"/>
  <c r="F174" i="26"/>
  <c r="F187" i="26" s="1"/>
  <c r="E174" i="26"/>
  <c r="E179" i="26" s="1"/>
  <c r="B174" i="26"/>
  <c r="G166" i="26"/>
  <c r="F166" i="26"/>
  <c r="E166" i="26"/>
  <c r="B165" i="26"/>
  <c r="B247" i="26" s="1"/>
  <c r="B291" i="26" s="1"/>
  <c r="B317" i="26" s="1"/>
  <c r="B164" i="26"/>
  <c r="B246" i="26" s="1"/>
  <c r="B280" i="26" s="1"/>
  <c r="B316" i="26" s="1"/>
  <c r="B163" i="26"/>
  <c r="B230" i="26" s="1"/>
  <c r="B162" i="26"/>
  <c r="B244" i="26" s="1"/>
  <c r="B256" i="26" s="1"/>
  <c r="J161" i="26"/>
  <c r="J159" i="26"/>
  <c r="G157" i="26"/>
  <c r="F157" i="26"/>
  <c r="E157" i="26"/>
  <c r="J156" i="26"/>
  <c r="J155" i="26"/>
  <c r="J154" i="26"/>
  <c r="J151" i="26"/>
  <c r="J148" i="26"/>
  <c r="G146" i="26"/>
  <c r="G152" i="26" s="1"/>
  <c r="F146" i="26"/>
  <c r="F152" i="26" s="1"/>
  <c r="E146" i="26"/>
  <c r="E152" i="26" s="1"/>
  <c r="J145" i="26"/>
  <c r="J144" i="26"/>
  <c r="J143" i="26"/>
  <c r="J142" i="26"/>
  <c r="J136" i="26"/>
  <c r="K136" i="26" s="1"/>
  <c r="I136" i="26"/>
  <c r="H136" i="26"/>
  <c r="J135" i="26"/>
  <c r="K135" i="26" s="1"/>
  <c r="I135" i="26"/>
  <c r="H135" i="26"/>
  <c r="J131" i="26"/>
  <c r="K131" i="26" s="1"/>
  <c r="I131" i="26"/>
  <c r="H131" i="26"/>
  <c r="J129" i="26"/>
  <c r="I129" i="26"/>
  <c r="J109" i="26"/>
  <c r="J130" i="26" s="1"/>
  <c r="K130" i="26" s="1"/>
  <c r="I109" i="26"/>
  <c r="I130" i="26" s="1"/>
  <c r="H109" i="26"/>
  <c r="H130" i="26" s="1"/>
  <c r="K107" i="26"/>
  <c r="L107" i="26" s="1"/>
  <c r="K106" i="26"/>
  <c r="K195" i="26" s="1"/>
  <c r="B92" i="26"/>
  <c r="B90" i="26"/>
  <c r="B88" i="26"/>
  <c r="B87" i="26"/>
  <c r="B86" i="26"/>
  <c r="J62" i="26"/>
  <c r="I62" i="26"/>
  <c r="I63" i="26" s="1"/>
  <c r="H62" i="26"/>
  <c r="B44" i="26"/>
  <c r="F39" i="26"/>
  <c r="F38" i="26"/>
  <c r="F37" i="26"/>
  <c r="J36" i="26"/>
  <c r="I36" i="26" s="1"/>
  <c r="F36" i="26"/>
  <c r="K34" i="26"/>
  <c r="K324" i="26" s="1"/>
  <c r="E30" i="26"/>
  <c r="J139" i="24"/>
  <c r="J79" i="24" s="1"/>
  <c r="E28" i="24"/>
  <c r="J332" i="24"/>
  <c r="O324" i="24"/>
  <c r="N324" i="24"/>
  <c r="M324" i="24"/>
  <c r="L324" i="24"/>
  <c r="K324" i="24"/>
  <c r="K284" i="24"/>
  <c r="K273" i="24"/>
  <c r="K259" i="24"/>
  <c r="I258" i="24"/>
  <c r="M251" i="24"/>
  <c r="N251" i="24" s="1"/>
  <c r="L251" i="24"/>
  <c r="L284" i="24" s="1"/>
  <c r="O236" i="24"/>
  <c r="N236" i="24"/>
  <c r="M236" i="24"/>
  <c r="L236" i="24"/>
  <c r="K236" i="24"/>
  <c r="B206" i="24"/>
  <c r="B205" i="24"/>
  <c r="B204" i="24"/>
  <c r="B203" i="24"/>
  <c r="B202" i="24"/>
  <c r="B201" i="24"/>
  <c r="B200" i="24"/>
  <c r="B199" i="24"/>
  <c r="G183" i="24"/>
  <c r="F178" i="24"/>
  <c r="E178" i="24"/>
  <c r="G176" i="24"/>
  <c r="G173" i="24"/>
  <c r="F173" i="24"/>
  <c r="E173" i="24"/>
  <c r="B173" i="24"/>
  <c r="G172" i="24"/>
  <c r="F172" i="24"/>
  <c r="F182" i="24" s="1"/>
  <c r="E172" i="24"/>
  <c r="B172" i="24"/>
  <c r="G171" i="24"/>
  <c r="G184" i="24" s="1"/>
  <c r="F171" i="24"/>
  <c r="F184" i="24" s="1"/>
  <c r="E171" i="24"/>
  <c r="E176" i="24" s="1"/>
  <c r="B171" i="24"/>
  <c r="G163" i="24"/>
  <c r="E22" i="24" s="1"/>
  <c r="F163" i="24"/>
  <c r="E163" i="24"/>
  <c r="B162" i="24"/>
  <c r="B244" i="24" s="1"/>
  <c r="B288" i="24" s="1"/>
  <c r="B314" i="24" s="1"/>
  <c r="B161" i="24"/>
  <c r="B243" i="24" s="1"/>
  <c r="B277" i="24" s="1"/>
  <c r="B313" i="24" s="1"/>
  <c r="B160" i="24"/>
  <c r="B227" i="24" s="1"/>
  <c r="B159" i="24"/>
  <c r="B241" i="24" s="1"/>
  <c r="B253" i="24" s="1"/>
  <c r="J156" i="24"/>
  <c r="G154" i="24"/>
  <c r="F154" i="24"/>
  <c r="E154" i="24"/>
  <c r="J153" i="24"/>
  <c r="J152" i="24"/>
  <c r="J151" i="24"/>
  <c r="J154" i="24" s="1"/>
  <c r="J148" i="24"/>
  <c r="J145" i="24"/>
  <c r="G143" i="24"/>
  <c r="G149" i="24" s="1"/>
  <c r="F143" i="24"/>
  <c r="F149" i="24" s="1"/>
  <c r="E143" i="24"/>
  <c r="E149" i="24" s="1"/>
  <c r="J142" i="24"/>
  <c r="J141" i="24"/>
  <c r="J140" i="24"/>
  <c r="J133" i="24"/>
  <c r="K133" i="24" s="1"/>
  <c r="I133" i="24"/>
  <c r="H133" i="24"/>
  <c r="J132" i="24"/>
  <c r="K132" i="24" s="1"/>
  <c r="I132" i="24"/>
  <c r="H132" i="24"/>
  <c r="J128" i="24"/>
  <c r="K128" i="24" s="1"/>
  <c r="L128" i="24" s="1"/>
  <c r="M128" i="24" s="1"/>
  <c r="N128" i="24" s="1"/>
  <c r="O128" i="24" s="1"/>
  <c r="I128" i="24"/>
  <c r="H128" i="24"/>
  <c r="J126" i="24"/>
  <c r="I126" i="24"/>
  <c r="J106" i="24"/>
  <c r="J127" i="24" s="1"/>
  <c r="K127" i="24" s="1"/>
  <c r="L127" i="24" s="1"/>
  <c r="M127" i="24" s="1"/>
  <c r="N127" i="24" s="1"/>
  <c r="O127" i="24" s="1"/>
  <c r="I106" i="24"/>
  <c r="I127" i="24" s="1"/>
  <c r="H106" i="24"/>
  <c r="H127" i="24" s="1"/>
  <c r="K104" i="24"/>
  <c r="K107" i="24" s="1"/>
  <c r="K173" i="24" s="1"/>
  <c r="L103" i="24"/>
  <c r="L192" i="24" s="1"/>
  <c r="K103" i="24"/>
  <c r="K192" i="24" s="1"/>
  <c r="B89" i="24"/>
  <c r="B87" i="24"/>
  <c r="B85" i="24"/>
  <c r="B84" i="24"/>
  <c r="B83" i="24"/>
  <c r="J59" i="24"/>
  <c r="I59" i="24"/>
  <c r="I60" i="24" s="1"/>
  <c r="H59" i="24"/>
  <c r="B42" i="24"/>
  <c r="F37" i="24"/>
  <c r="F36" i="24"/>
  <c r="F35" i="24"/>
  <c r="J34" i="24"/>
  <c r="K34" i="24" s="1"/>
  <c r="I34" i="24"/>
  <c r="F34" i="24"/>
  <c r="K32" i="24"/>
  <c r="E23" i="24"/>
  <c r="J332" i="23"/>
  <c r="O324" i="23"/>
  <c r="N324" i="23"/>
  <c r="M324" i="23"/>
  <c r="L324" i="23"/>
  <c r="K324" i="23"/>
  <c r="K284" i="23"/>
  <c r="L273" i="23"/>
  <c r="K273" i="23"/>
  <c r="K259" i="23"/>
  <c r="I258" i="23"/>
  <c r="L251" i="23"/>
  <c r="M251" i="23" s="1"/>
  <c r="O236" i="23"/>
  <c r="N236" i="23"/>
  <c r="M236" i="23"/>
  <c r="L236" i="23"/>
  <c r="K236" i="23"/>
  <c r="B206" i="23"/>
  <c r="B205" i="23"/>
  <c r="B204" i="23"/>
  <c r="B203" i="23"/>
  <c r="B202" i="23"/>
  <c r="B201" i="23"/>
  <c r="B200" i="23"/>
  <c r="B199" i="23"/>
  <c r="G178" i="23"/>
  <c r="G173" i="23"/>
  <c r="F173" i="23"/>
  <c r="E173" i="23"/>
  <c r="B173" i="23"/>
  <c r="G172" i="23"/>
  <c r="G182" i="23" s="1"/>
  <c r="F172" i="23"/>
  <c r="F182" i="23" s="1"/>
  <c r="E172" i="23"/>
  <c r="B172" i="23"/>
  <c r="G171" i="23"/>
  <c r="G184" i="23" s="1"/>
  <c r="F171" i="23"/>
  <c r="F184" i="23" s="1"/>
  <c r="E171" i="23"/>
  <c r="E176" i="23" s="1"/>
  <c r="B171" i="23"/>
  <c r="G163" i="23"/>
  <c r="E22" i="23" s="1"/>
  <c r="F163" i="23"/>
  <c r="E163" i="23"/>
  <c r="B162" i="23"/>
  <c r="B244" i="23" s="1"/>
  <c r="B288" i="23" s="1"/>
  <c r="B314" i="23" s="1"/>
  <c r="B161" i="23"/>
  <c r="B243" i="23" s="1"/>
  <c r="B277" i="23" s="1"/>
  <c r="B313" i="23" s="1"/>
  <c r="B160" i="23"/>
  <c r="B227" i="23" s="1"/>
  <c r="B159" i="23"/>
  <c r="B241" i="23" s="1"/>
  <c r="B253" i="23" s="1"/>
  <c r="J158" i="23"/>
  <c r="K158" i="23" s="1"/>
  <c r="K81" i="23" s="1"/>
  <c r="J156" i="23"/>
  <c r="J154" i="23"/>
  <c r="G154" i="23"/>
  <c r="F154" i="23"/>
  <c r="F166" i="23" s="1"/>
  <c r="E154" i="23"/>
  <c r="E166" i="23" s="1"/>
  <c r="J153" i="23"/>
  <c r="J152" i="23"/>
  <c r="J151" i="23"/>
  <c r="J148" i="23"/>
  <c r="J145" i="23"/>
  <c r="G143" i="23"/>
  <c r="G149" i="23" s="1"/>
  <c r="F143" i="23"/>
  <c r="F149" i="23" s="1"/>
  <c r="F168" i="23" s="1"/>
  <c r="E143" i="23"/>
  <c r="E149" i="23" s="1"/>
  <c r="J142" i="23"/>
  <c r="J141" i="23"/>
  <c r="J140" i="23"/>
  <c r="J139" i="23"/>
  <c r="J133" i="23"/>
  <c r="K133" i="23" s="1"/>
  <c r="I133" i="23"/>
  <c r="H133" i="23"/>
  <c r="J132" i="23"/>
  <c r="K132" i="23" s="1"/>
  <c r="I132" i="23"/>
  <c r="H132" i="23"/>
  <c r="J128" i="23"/>
  <c r="K128" i="23" s="1"/>
  <c r="L128" i="23" s="1"/>
  <c r="M128" i="23" s="1"/>
  <c r="N128" i="23" s="1"/>
  <c r="O128" i="23" s="1"/>
  <c r="I128" i="23"/>
  <c r="H128" i="23"/>
  <c r="J127" i="23"/>
  <c r="K127" i="23" s="1"/>
  <c r="L127" i="23" s="1"/>
  <c r="M127" i="23" s="1"/>
  <c r="N127" i="23" s="1"/>
  <c r="O127" i="23" s="1"/>
  <c r="J126" i="23"/>
  <c r="I126" i="23"/>
  <c r="H108" i="23"/>
  <c r="H116" i="23" s="1"/>
  <c r="H118" i="23" s="1"/>
  <c r="H120" i="23" s="1"/>
  <c r="J106" i="23"/>
  <c r="J108" i="23" s="1"/>
  <c r="I106" i="23"/>
  <c r="I127" i="23" s="1"/>
  <c r="H106" i="23"/>
  <c r="H127" i="23" s="1"/>
  <c r="K104" i="23"/>
  <c r="K103" i="23"/>
  <c r="J103" i="23"/>
  <c r="I103" i="23" s="1"/>
  <c r="B89" i="23"/>
  <c r="B87" i="23"/>
  <c r="B85" i="23"/>
  <c r="B84" i="23"/>
  <c r="B83" i="23"/>
  <c r="J81" i="23"/>
  <c r="J79" i="23"/>
  <c r="I60" i="23"/>
  <c r="J59" i="23"/>
  <c r="J60" i="23" s="1"/>
  <c r="I59" i="23"/>
  <c r="H59" i="23"/>
  <c r="K58" i="23"/>
  <c r="J58" i="23" s="1"/>
  <c r="I58" i="23" s="1"/>
  <c r="H58" i="23" s="1"/>
  <c r="B42" i="23"/>
  <c r="F37" i="23"/>
  <c r="F36" i="23"/>
  <c r="F35" i="23"/>
  <c r="J34" i="23"/>
  <c r="F34" i="23"/>
  <c r="K33" i="23"/>
  <c r="K32" i="23"/>
  <c r="K68" i="23" s="1"/>
  <c r="E28" i="23"/>
  <c r="E23" i="23"/>
  <c r="K9" i="23"/>
  <c r="J332" i="22"/>
  <c r="O324" i="22"/>
  <c r="N324" i="22"/>
  <c r="M324" i="22"/>
  <c r="L324" i="22"/>
  <c r="K324" i="22"/>
  <c r="K284" i="22"/>
  <c r="K273" i="22"/>
  <c r="K259" i="22"/>
  <c r="I258" i="22"/>
  <c r="L251" i="22"/>
  <c r="M251" i="22" s="1"/>
  <c r="O236" i="22"/>
  <c r="N236" i="22"/>
  <c r="M236" i="22"/>
  <c r="L236" i="22"/>
  <c r="K236" i="22"/>
  <c r="B227" i="22"/>
  <c r="B206" i="22"/>
  <c r="B205" i="22"/>
  <c r="B204" i="22"/>
  <c r="B203" i="22"/>
  <c r="B202" i="22"/>
  <c r="B201" i="22"/>
  <c r="B200" i="22"/>
  <c r="B199" i="22"/>
  <c r="F184" i="22"/>
  <c r="E184" i="22"/>
  <c r="G183" i="22"/>
  <c r="F183" i="22"/>
  <c r="E183" i="22"/>
  <c r="F178" i="22"/>
  <c r="E178" i="22"/>
  <c r="G176" i="22"/>
  <c r="F176" i="22"/>
  <c r="E176" i="22"/>
  <c r="G173" i="22"/>
  <c r="F173" i="22"/>
  <c r="E173" i="22"/>
  <c r="B173" i="22"/>
  <c r="G172" i="22"/>
  <c r="G182" i="22" s="1"/>
  <c r="F172" i="22"/>
  <c r="F182" i="22" s="1"/>
  <c r="E172" i="22"/>
  <c r="E182" i="22" s="1"/>
  <c r="B172" i="22"/>
  <c r="K171" i="22"/>
  <c r="K153" i="22" s="1"/>
  <c r="K205" i="22" s="1"/>
  <c r="G171" i="22"/>
  <c r="G184" i="22" s="1"/>
  <c r="F171" i="22"/>
  <c r="E171" i="22"/>
  <c r="B171" i="22"/>
  <c r="G166" i="22"/>
  <c r="G163" i="22"/>
  <c r="F163" i="22"/>
  <c r="E163" i="22"/>
  <c r="B162" i="22"/>
  <c r="B244" i="22" s="1"/>
  <c r="B288" i="22" s="1"/>
  <c r="B314" i="22" s="1"/>
  <c r="B161" i="22"/>
  <c r="B243" i="22" s="1"/>
  <c r="B277" i="22" s="1"/>
  <c r="B313" i="22" s="1"/>
  <c r="B160" i="22"/>
  <c r="B242" i="22" s="1"/>
  <c r="B266" i="22" s="1"/>
  <c r="B312" i="22" s="1"/>
  <c r="B159" i="22"/>
  <c r="B241" i="22" s="1"/>
  <c r="B253" i="22" s="1"/>
  <c r="L158" i="22"/>
  <c r="K158" i="22"/>
  <c r="J158" i="22"/>
  <c r="J156" i="22"/>
  <c r="G154" i="22"/>
  <c r="F154" i="22"/>
  <c r="F166" i="22" s="1"/>
  <c r="E154" i="22"/>
  <c r="E166" i="22" s="1"/>
  <c r="J153" i="22"/>
  <c r="J152" i="22"/>
  <c r="J151" i="22"/>
  <c r="J154" i="22" s="1"/>
  <c r="F149" i="22"/>
  <c r="F168" i="22" s="1"/>
  <c r="E149" i="22"/>
  <c r="E168" i="22" s="1"/>
  <c r="J148" i="22"/>
  <c r="J145" i="22"/>
  <c r="G143" i="22"/>
  <c r="G149" i="22" s="1"/>
  <c r="G168" i="22" s="1"/>
  <c r="F143" i="22"/>
  <c r="F186" i="22" s="1"/>
  <c r="F187" i="22" s="1"/>
  <c r="E143" i="22"/>
  <c r="E186" i="22" s="1"/>
  <c r="E187" i="22" s="1"/>
  <c r="J142" i="22"/>
  <c r="J141" i="22"/>
  <c r="J140" i="22"/>
  <c r="J139" i="22"/>
  <c r="J133" i="22"/>
  <c r="K133" i="22" s="1"/>
  <c r="I133" i="22"/>
  <c r="H133" i="22"/>
  <c r="L132" i="22"/>
  <c r="M132" i="22" s="1"/>
  <c r="K132" i="22"/>
  <c r="K123" i="22" s="1"/>
  <c r="J132" i="22"/>
  <c r="I132" i="22"/>
  <c r="H132" i="22"/>
  <c r="J128" i="22"/>
  <c r="K128" i="22" s="1"/>
  <c r="I128" i="22"/>
  <c r="H128" i="22"/>
  <c r="K127" i="22"/>
  <c r="L127" i="22" s="1"/>
  <c r="M127" i="22" s="1"/>
  <c r="N127" i="22" s="1"/>
  <c r="O127" i="22" s="1"/>
  <c r="J127" i="22"/>
  <c r="I127" i="22"/>
  <c r="H127" i="22"/>
  <c r="J126" i="22"/>
  <c r="I126" i="22"/>
  <c r="H116" i="22"/>
  <c r="H118" i="22" s="1"/>
  <c r="H120" i="22" s="1"/>
  <c r="I111" i="22"/>
  <c r="I113" i="22" s="1"/>
  <c r="H111" i="22"/>
  <c r="H113" i="22" s="1"/>
  <c r="J108" i="22"/>
  <c r="J116" i="22" s="1"/>
  <c r="J118" i="22" s="1"/>
  <c r="J120" i="22" s="1"/>
  <c r="I108" i="22"/>
  <c r="I116" i="22" s="1"/>
  <c r="I118" i="22" s="1"/>
  <c r="I120" i="22" s="1"/>
  <c r="H108" i="22"/>
  <c r="J106" i="22"/>
  <c r="I106" i="22"/>
  <c r="H106" i="22"/>
  <c r="L104" i="22"/>
  <c r="K104" i="22"/>
  <c r="L103" i="22"/>
  <c r="L192" i="22" s="1"/>
  <c r="K103" i="22"/>
  <c r="K192" i="22" s="1"/>
  <c r="B89" i="22"/>
  <c r="B87" i="22"/>
  <c r="B85" i="22"/>
  <c r="B84" i="22"/>
  <c r="B83" i="22"/>
  <c r="K69" i="22"/>
  <c r="B42" i="22"/>
  <c r="F37" i="22"/>
  <c r="F36" i="22"/>
  <c r="F35" i="22"/>
  <c r="J34" i="22"/>
  <c r="I34" i="22"/>
  <c r="K34" i="22" s="1"/>
  <c r="F34" i="22"/>
  <c r="K33" i="22"/>
  <c r="K32" i="22"/>
  <c r="K321" i="22" s="1"/>
  <c r="E28" i="22"/>
  <c r="E23" i="22"/>
  <c r="E22" i="22"/>
  <c r="K9" i="22"/>
  <c r="J94" i="6"/>
  <c r="J88" i="6"/>
  <c r="J93" i="6" s="1"/>
  <c r="O81" i="6"/>
  <c r="N81" i="6"/>
  <c r="M81" i="6"/>
  <c r="L81" i="6"/>
  <c r="K81" i="6"/>
  <c r="J89" i="6"/>
  <c r="J87" i="6"/>
  <c r="J86" i="6"/>
  <c r="J85" i="6"/>
  <c r="J84" i="6"/>
  <c r="J83" i="6"/>
  <c r="J81" i="6"/>
  <c r="J79" i="6"/>
  <c r="L74" i="6"/>
  <c r="M74" i="6"/>
  <c r="N74" i="6"/>
  <c r="O74" i="6"/>
  <c r="K74" i="6"/>
  <c r="L73" i="6"/>
  <c r="M73" i="6"/>
  <c r="N73" i="6"/>
  <c r="O73" i="6"/>
  <c r="K73" i="6"/>
  <c r="L66" i="6"/>
  <c r="M66" i="6"/>
  <c r="N66" i="6"/>
  <c r="O66" i="6"/>
  <c r="K66" i="6"/>
  <c r="L65" i="6"/>
  <c r="M65" i="6"/>
  <c r="N65" i="6"/>
  <c r="O65" i="6"/>
  <c r="K65" i="6"/>
  <c r="O62" i="6"/>
  <c r="N62" i="6"/>
  <c r="M62" i="6"/>
  <c r="L62" i="6"/>
  <c r="K62" i="6"/>
  <c r="J62" i="6"/>
  <c r="I62" i="6"/>
  <c r="H62" i="6"/>
  <c r="O61" i="6"/>
  <c r="N61" i="6"/>
  <c r="M61" i="6"/>
  <c r="L61" i="6"/>
  <c r="K61" i="6"/>
  <c r="J61" i="6"/>
  <c r="I61" i="6"/>
  <c r="H61" i="6"/>
  <c r="O60" i="6"/>
  <c r="N60" i="6"/>
  <c r="M60" i="6"/>
  <c r="L60" i="6"/>
  <c r="K60" i="6"/>
  <c r="J60" i="6"/>
  <c r="I60" i="6"/>
  <c r="O59" i="6"/>
  <c r="N59" i="6"/>
  <c r="M59" i="6"/>
  <c r="L59" i="6"/>
  <c r="K59" i="6"/>
  <c r="J59" i="6"/>
  <c r="I59" i="6"/>
  <c r="H59" i="6"/>
  <c r="J111" i="23" l="1"/>
  <c r="J113" i="23" s="1"/>
  <c r="J116" i="23"/>
  <c r="J118" i="23" s="1"/>
  <c r="J120" i="23" s="1"/>
  <c r="E178" i="23"/>
  <c r="J143" i="23"/>
  <c r="F178" i="23"/>
  <c r="I108" i="23"/>
  <c r="I116" i="23" s="1"/>
  <c r="I118" i="23" s="1"/>
  <c r="I120" i="23" s="1"/>
  <c r="E183" i="23"/>
  <c r="L259" i="23"/>
  <c r="E168" i="23"/>
  <c r="G183" i="23"/>
  <c r="L284" i="23"/>
  <c r="E186" i="23"/>
  <c r="E187" i="23" s="1"/>
  <c r="H111" i="23"/>
  <c r="H113" i="23" s="1"/>
  <c r="E182" i="23"/>
  <c r="G166" i="23"/>
  <c r="G168" i="23" s="1"/>
  <c r="K192" i="23"/>
  <c r="K69" i="23"/>
  <c r="L103" i="23"/>
  <c r="K107" i="23"/>
  <c r="K173" i="23" s="1"/>
  <c r="F176" i="23"/>
  <c r="G176" i="23"/>
  <c r="S51" i="26"/>
  <c r="H106" i="29"/>
  <c r="E141" i="29" s="1"/>
  <c r="F141" i="29"/>
  <c r="L135" i="29"/>
  <c r="K126" i="29"/>
  <c r="J84" i="29"/>
  <c r="K161" i="29"/>
  <c r="B314" i="29"/>
  <c r="B313" i="29"/>
  <c r="L174" i="29"/>
  <c r="L110" i="29"/>
  <c r="L176" i="29" s="1"/>
  <c r="L62" i="29"/>
  <c r="L63" i="29" s="1"/>
  <c r="L108" i="29"/>
  <c r="L175" i="29" s="1"/>
  <c r="M107" i="29"/>
  <c r="N276" i="29"/>
  <c r="N287" i="29"/>
  <c r="N262" i="29"/>
  <c r="O254" i="29"/>
  <c r="K120" i="29"/>
  <c r="K197" i="29" s="1"/>
  <c r="L136" i="29"/>
  <c r="J82" i="29"/>
  <c r="K304" i="29"/>
  <c r="J146" i="29"/>
  <c r="K238" i="29"/>
  <c r="K108" i="29"/>
  <c r="K175" i="29" s="1"/>
  <c r="L130" i="29"/>
  <c r="M130" i="29" s="1"/>
  <c r="N130" i="29" s="1"/>
  <c r="O130" i="29" s="1"/>
  <c r="H116" i="29"/>
  <c r="H134" i="29"/>
  <c r="M53" i="29"/>
  <c r="I168" i="29" s="1"/>
  <c r="S50" i="29"/>
  <c r="S51" i="29" s="1"/>
  <c r="I132" i="29"/>
  <c r="I64" i="29"/>
  <c r="I65" i="29" s="1"/>
  <c r="I133" i="29"/>
  <c r="K148" i="29"/>
  <c r="J132" i="29"/>
  <c r="J64" i="29"/>
  <c r="J65" i="29" s="1"/>
  <c r="J133" i="29"/>
  <c r="E25" i="29"/>
  <c r="M26" i="29" s="1"/>
  <c r="K36" i="29"/>
  <c r="H119" i="29"/>
  <c r="H121" i="29" s="1"/>
  <c r="H123" i="29" s="1"/>
  <c r="E189" i="29"/>
  <c r="E190" i="29" s="1"/>
  <c r="H60" i="29"/>
  <c r="F189" i="29"/>
  <c r="F190" i="29" s="1"/>
  <c r="K302" i="29"/>
  <c r="E180" i="29"/>
  <c r="G189" i="29"/>
  <c r="G190" i="29" s="1"/>
  <c r="K303" i="29"/>
  <c r="F180" i="29"/>
  <c r="L303" i="29"/>
  <c r="G180" i="29"/>
  <c r="E140" i="29"/>
  <c r="K8" i="29"/>
  <c r="K140" i="29"/>
  <c r="I134" i="29"/>
  <c r="E184" i="29"/>
  <c r="B245" i="29"/>
  <c r="B269" i="29" s="1"/>
  <c r="B315" i="29" s="1"/>
  <c r="H105" i="29"/>
  <c r="J134" i="29"/>
  <c r="F184" i="29"/>
  <c r="G141" i="29"/>
  <c r="G184" i="29"/>
  <c r="K227" i="29"/>
  <c r="K141" i="29"/>
  <c r="K325" i="29" s="1"/>
  <c r="K228" i="29"/>
  <c r="K252" i="29"/>
  <c r="L141" i="29"/>
  <c r="L228" i="29"/>
  <c r="K253" i="29"/>
  <c r="I36" i="29"/>
  <c r="L253" i="29"/>
  <c r="M106" i="29"/>
  <c r="F186" i="29"/>
  <c r="K110" i="29"/>
  <c r="K176" i="29" s="1"/>
  <c r="K174" i="29"/>
  <c r="K194" i="29"/>
  <c r="E187" i="29"/>
  <c r="S47" i="28"/>
  <c r="L34" i="28"/>
  <c r="M132" i="28"/>
  <c r="L123" i="28"/>
  <c r="J131" i="28"/>
  <c r="J113" i="28"/>
  <c r="I113" i="28"/>
  <c r="I131" i="28"/>
  <c r="H129" i="28"/>
  <c r="H61" i="28"/>
  <c r="H62" i="28" s="1"/>
  <c r="B310" i="28"/>
  <c r="B311" i="28"/>
  <c r="I129" i="28"/>
  <c r="I61" i="28"/>
  <c r="I62" i="28" s="1"/>
  <c r="J130" i="28"/>
  <c r="I130" i="28"/>
  <c r="M24" i="28"/>
  <c r="E21" i="28"/>
  <c r="K321" i="28"/>
  <c r="K191" i="28"/>
  <c r="K249" i="28"/>
  <c r="J129" i="28"/>
  <c r="L133" i="28"/>
  <c r="G181" i="28"/>
  <c r="N251" i="28"/>
  <c r="K137" i="28"/>
  <c r="M103" i="28"/>
  <c r="L250" i="28"/>
  <c r="L33" i="28"/>
  <c r="L225" i="28"/>
  <c r="L138" i="28"/>
  <c r="L9" i="28"/>
  <c r="L300" i="28"/>
  <c r="K171" i="28"/>
  <c r="K107" i="28"/>
  <c r="K173" i="28" s="1"/>
  <c r="K59" i="28"/>
  <c r="K60" i="28" s="1"/>
  <c r="K105" i="28"/>
  <c r="K172" i="28" s="1"/>
  <c r="K158" i="28"/>
  <c r="E137" i="28"/>
  <c r="L171" i="28"/>
  <c r="L107" i="28"/>
  <c r="L173" i="28" s="1"/>
  <c r="L106" i="28"/>
  <c r="L108" i="28" s="1"/>
  <c r="K224" i="28"/>
  <c r="J61" i="28"/>
  <c r="J62" i="28" s="1"/>
  <c r="H131" i="28"/>
  <c r="E168" i="28"/>
  <c r="M284" i="28"/>
  <c r="J79" i="28"/>
  <c r="K235" i="28"/>
  <c r="H57" i="28"/>
  <c r="K299" i="28"/>
  <c r="F166" i="28"/>
  <c r="F168" i="28" s="1"/>
  <c r="K8" i="28"/>
  <c r="L58" i="28"/>
  <c r="J143" i="28"/>
  <c r="G166" i="28"/>
  <c r="G168" i="28" s="1"/>
  <c r="G186" i="28"/>
  <c r="G187" i="28" s="1"/>
  <c r="G177" i="28"/>
  <c r="L192" i="28"/>
  <c r="M104" i="28"/>
  <c r="L322" i="28"/>
  <c r="L105" i="28"/>
  <c r="L172" i="28" s="1"/>
  <c r="H102" i="28"/>
  <c r="K145" i="28"/>
  <c r="M259" i="28"/>
  <c r="E177" i="28"/>
  <c r="J103" i="28"/>
  <c r="K250" i="28"/>
  <c r="K35" i="26"/>
  <c r="I111" i="26"/>
  <c r="I119" i="26" s="1"/>
  <c r="I121" i="26" s="1"/>
  <c r="I123" i="26" s="1"/>
  <c r="J157" i="26"/>
  <c r="F185" i="26"/>
  <c r="K61" i="26"/>
  <c r="J61" i="26" s="1"/>
  <c r="I61" i="26" s="1"/>
  <c r="H61" i="26" s="1"/>
  <c r="G189" i="26"/>
  <c r="G190" i="26" s="1"/>
  <c r="K62" i="26"/>
  <c r="E186" i="26"/>
  <c r="K9" i="26"/>
  <c r="K63" i="26"/>
  <c r="L262" i="26"/>
  <c r="L276" i="26"/>
  <c r="L287" i="26"/>
  <c r="K303" i="26"/>
  <c r="L106" i="26"/>
  <c r="H111" i="26"/>
  <c r="H114" i="26" s="1"/>
  <c r="H116" i="26" s="1"/>
  <c r="N254" i="26"/>
  <c r="N262" i="26" s="1"/>
  <c r="M287" i="26"/>
  <c r="M276" i="26"/>
  <c r="M262" i="26"/>
  <c r="E189" i="26"/>
  <c r="E190" i="26" s="1"/>
  <c r="J63" i="26"/>
  <c r="J111" i="26"/>
  <c r="I114" i="26"/>
  <c r="I116" i="26" s="1"/>
  <c r="E169" i="26"/>
  <c r="E171" i="26" s="1"/>
  <c r="F169" i="26"/>
  <c r="F171" i="26" s="1"/>
  <c r="G169" i="26"/>
  <c r="G171" i="26" s="1"/>
  <c r="J106" i="26"/>
  <c r="I106" i="26" s="1"/>
  <c r="H106" i="26" s="1"/>
  <c r="E141" i="26" s="1"/>
  <c r="F179" i="26"/>
  <c r="G179" i="26"/>
  <c r="E181" i="26"/>
  <c r="F181" i="26"/>
  <c r="G181" i="26"/>
  <c r="M53" i="26"/>
  <c r="K120" i="26"/>
  <c r="K197" i="26" s="1"/>
  <c r="L136" i="26"/>
  <c r="J82" i="26"/>
  <c r="K304" i="26"/>
  <c r="J146" i="26"/>
  <c r="K238" i="26"/>
  <c r="K108" i="26"/>
  <c r="K175" i="26" s="1"/>
  <c r="L130" i="26"/>
  <c r="M130" i="26" s="1"/>
  <c r="N130" i="26" s="1"/>
  <c r="O130" i="26" s="1"/>
  <c r="I132" i="26"/>
  <c r="I64" i="26"/>
  <c r="I65" i="26" s="1"/>
  <c r="L174" i="26"/>
  <c r="M107" i="26"/>
  <c r="L62" i="26"/>
  <c r="L63" i="26" s="1"/>
  <c r="K110" i="26"/>
  <c r="K176" i="26" s="1"/>
  <c r="L131" i="26"/>
  <c r="M131" i="26" s="1"/>
  <c r="N131" i="26" s="1"/>
  <c r="O131" i="26" s="1"/>
  <c r="L135" i="26"/>
  <c r="K126" i="26"/>
  <c r="J84" i="26"/>
  <c r="K161" i="26"/>
  <c r="B314" i="26"/>
  <c r="B313" i="26"/>
  <c r="K36" i="26"/>
  <c r="H60" i="26"/>
  <c r="F189" i="26"/>
  <c r="F190" i="26" s="1"/>
  <c r="K302" i="26"/>
  <c r="E180" i="26"/>
  <c r="F180" i="26"/>
  <c r="G180" i="26"/>
  <c r="E140" i="26"/>
  <c r="K140" i="26"/>
  <c r="E184" i="26"/>
  <c r="B245" i="26"/>
  <c r="B269" i="26" s="1"/>
  <c r="B315" i="26" s="1"/>
  <c r="H105" i="26"/>
  <c r="F184" i="26"/>
  <c r="G184" i="26"/>
  <c r="K227" i="26"/>
  <c r="K141" i="26"/>
  <c r="K325" i="26" s="1"/>
  <c r="K228" i="26"/>
  <c r="K252" i="26"/>
  <c r="L141" i="26"/>
  <c r="L228" i="26"/>
  <c r="K253" i="26"/>
  <c r="K8" i="26"/>
  <c r="F186" i="26"/>
  <c r="K174" i="26"/>
  <c r="G186" i="26"/>
  <c r="K194" i="26"/>
  <c r="E187" i="26"/>
  <c r="G178" i="24"/>
  <c r="E183" i="24"/>
  <c r="E182" i="24"/>
  <c r="J108" i="24"/>
  <c r="J111" i="24" s="1"/>
  <c r="J60" i="24"/>
  <c r="F176" i="24"/>
  <c r="J158" i="24"/>
  <c r="J81" i="24" s="1"/>
  <c r="J103" i="24"/>
  <c r="I103" i="24" s="1"/>
  <c r="L259" i="24"/>
  <c r="K58" i="24"/>
  <c r="J58" i="24" s="1"/>
  <c r="I58" i="24" s="1"/>
  <c r="H58" i="24" s="1"/>
  <c r="J143" i="24"/>
  <c r="M259" i="24"/>
  <c r="L58" i="24"/>
  <c r="H108" i="24"/>
  <c r="I108" i="24"/>
  <c r="I116" i="24" s="1"/>
  <c r="I118" i="24" s="1"/>
  <c r="I120" i="24" s="1"/>
  <c r="I129" i="24" s="1"/>
  <c r="L273" i="24"/>
  <c r="M273" i="24"/>
  <c r="K9" i="24"/>
  <c r="L9" i="24"/>
  <c r="J116" i="24"/>
  <c r="J118" i="24" s="1"/>
  <c r="J120" i="24" s="1"/>
  <c r="J129" i="24" s="1"/>
  <c r="M284" i="24"/>
  <c r="K33" i="24"/>
  <c r="L33" i="24"/>
  <c r="G182" i="24"/>
  <c r="E166" i="24"/>
  <c r="E168" i="24" s="1"/>
  <c r="F166" i="24"/>
  <c r="F168" i="24" s="1"/>
  <c r="G166" i="24"/>
  <c r="G168" i="24" s="1"/>
  <c r="H103" i="24"/>
  <c r="E138" i="24" s="1"/>
  <c r="F138" i="24"/>
  <c r="L132" i="24"/>
  <c r="K123" i="24"/>
  <c r="B311" i="24"/>
  <c r="B310" i="24"/>
  <c r="N273" i="24"/>
  <c r="N284" i="24"/>
  <c r="N259" i="24"/>
  <c r="O251" i="24"/>
  <c r="K117" i="24"/>
  <c r="K194" i="24" s="1"/>
  <c r="L133" i="24"/>
  <c r="J113" i="24"/>
  <c r="J131" i="24"/>
  <c r="E186" i="24"/>
  <c r="E187" i="24" s="1"/>
  <c r="L104" i="24"/>
  <c r="F186" i="24"/>
  <c r="F187" i="24" s="1"/>
  <c r="K299" i="24"/>
  <c r="E177" i="24"/>
  <c r="G186" i="24"/>
  <c r="G187" i="24" s="1"/>
  <c r="K235" i="24"/>
  <c r="K300" i="24"/>
  <c r="H57" i="24"/>
  <c r="F177" i="24"/>
  <c r="L300" i="24"/>
  <c r="G177" i="24"/>
  <c r="L34" i="24"/>
  <c r="K105" i="24"/>
  <c r="K172" i="24" s="1"/>
  <c r="K301" i="24"/>
  <c r="E137" i="24"/>
  <c r="E181" i="24"/>
  <c r="B242" i="24"/>
  <c r="B266" i="24" s="1"/>
  <c r="B312" i="24" s="1"/>
  <c r="K137" i="24"/>
  <c r="F181" i="24"/>
  <c r="G181" i="24"/>
  <c r="K224" i="24"/>
  <c r="H102" i="24"/>
  <c r="K225" i="24"/>
  <c r="K249" i="24"/>
  <c r="G138" i="24"/>
  <c r="L225" i="24"/>
  <c r="K250" i="24"/>
  <c r="K106" i="24"/>
  <c r="K108" i="24" s="1"/>
  <c r="K138" i="24"/>
  <c r="K322" i="24" s="1"/>
  <c r="L250" i="24"/>
  <c r="L138" i="24"/>
  <c r="K59" i="24"/>
  <c r="K60" i="24" s="1"/>
  <c r="F183" i="24"/>
  <c r="K8" i="24"/>
  <c r="K171" i="24"/>
  <c r="K191" i="24"/>
  <c r="M103" i="24"/>
  <c r="E184" i="24"/>
  <c r="K321" i="24"/>
  <c r="K117" i="23"/>
  <c r="K194" i="23" s="1"/>
  <c r="L133" i="23"/>
  <c r="B311" i="23"/>
  <c r="B310" i="23"/>
  <c r="N251" i="23"/>
  <c r="M273" i="23"/>
  <c r="M284" i="23"/>
  <c r="M259" i="23"/>
  <c r="H129" i="23"/>
  <c r="H61" i="23"/>
  <c r="H62" i="23" s="1"/>
  <c r="I129" i="23"/>
  <c r="I61" i="23"/>
  <c r="I62" i="23" s="1"/>
  <c r="I130" i="23"/>
  <c r="H103" i="23"/>
  <c r="E138" i="23" s="1"/>
  <c r="F138" i="23"/>
  <c r="J129" i="23"/>
  <c r="J61" i="23"/>
  <c r="J62" i="23" s="1"/>
  <c r="E19" i="23"/>
  <c r="J130" i="23"/>
  <c r="L132" i="23"/>
  <c r="K123" i="23"/>
  <c r="K65" i="23" s="1"/>
  <c r="K66" i="23" s="1"/>
  <c r="L104" i="23"/>
  <c r="L158" i="23"/>
  <c r="F186" i="23"/>
  <c r="F187" i="23" s="1"/>
  <c r="K299" i="23"/>
  <c r="K8" i="23"/>
  <c r="I34" i="23"/>
  <c r="K34" i="23" s="1"/>
  <c r="I111" i="23"/>
  <c r="E177" i="23"/>
  <c r="G186" i="23"/>
  <c r="G187" i="23" s="1"/>
  <c r="K235" i="23"/>
  <c r="K300" i="23"/>
  <c r="H57" i="23"/>
  <c r="F177" i="23"/>
  <c r="G177" i="23"/>
  <c r="K105" i="23"/>
  <c r="K172" i="23" s="1"/>
  <c r="K301" i="23"/>
  <c r="E137" i="23"/>
  <c r="E181" i="23"/>
  <c r="B242" i="23"/>
  <c r="B266" i="23" s="1"/>
  <c r="B312" i="23" s="1"/>
  <c r="H131" i="23"/>
  <c r="K137" i="23"/>
  <c r="F181" i="23"/>
  <c r="G181" i="23"/>
  <c r="K224" i="23"/>
  <c r="H102" i="23"/>
  <c r="K225" i="23"/>
  <c r="K249" i="23"/>
  <c r="G138" i="23"/>
  <c r="K250" i="23"/>
  <c r="K138" i="23"/>
  <c r="K322" i="23" s="1"/>
  <c r="L250" i="23"/>
  <c r="K59" i="23"/>
  <c r="K60" i="23" s="1"/>
  <c r="F183" i="23"/>
  <c r="K171" i="23"/>
  <c r="K191" i="23"/>
  <c r="E184" i="23"/>
  <c r="K321" i="23"/>
  <c r="J129" i="22"/>
  <c r="E19" i="22"/>
  <c r="J130" i="22"/>
  <c r="N251" i="22"/>
  <c r="M273" i="22"/>
  <c r="M284" i="22"/>
  <c r="M259" i="22"/>
  <c r="H129" i="22"/>
  <c r="B311" i="22"/>
  <c r="B310" i="22"/>
  <c r="L34" i="22"/>
  <c r="K107" i="22"/>
  <c r="K173" i="22" s="1"/>
  <c r="L128" i="22"/>
  <c r="M128" i="22" s="1"/>
  <c r="N128" i="22" s="1"/>
  <c r="O128" i="22" s="1"/>
  <c r="L107" i="22"/>
  <c r="L173" i="22" s="1"/>
  <c r="I129" i="22"/>
  <c r="I130" i="22"/>
  <c r="K212" i="22"/>
  <c r="K213" i="22" s="1"/>
  <c r="K117" i="22"/>
  <c r="K194" i="22" s="1"/>
  <c r="L133" i="22"/>
  <c r="N132" i="22"/>
  <c r="M123" i="22"/>
  <c r="L69" i="22"/>
  <c r="K299" i="22"/>
  <c r="K191" i="22"/>
  <c r="K8" i="22"/>
  <c r="M104" i="22"/>
  <c r="M158" i="22"/>
  <c r="E177" i="22"/>
  <c r="G186" i="22"/>
  <c r="G187" i="22" s="1"/>
  <c r="K235" i="22"/>
  <c r="K300" i="22"/>
  <c r="L9" i="22"/>
  <c r="H57" i="22"/>
  <c r="J111" i="22"/>
  <c r="F177" i="22"/>
  <c r="L300" i="22"/>
  <c r="G177" i="22"/>
  <c r="L259" i="22"/>
  <c r="K105" i="22"/>
  <c r="K172" i="22" s="1"/>
  <c r="K140" i="22"/>
  <c r="K199" i="22" s="1"/>
  <c r="J143" i="22"/>
  <c r="L105" i="22"/>
  <c r="L172" i="22" s="1"/>
  <c r="L284" i="22"/>
  <c r="K58" i="22"/>
  <c r="J58" i="22" s="1"/>
  <c r="I58" i="22" s="1"/>
  <c r="H58" i="22" s="1"/>
  <c r="G178" i="22"/>
  <c r="K301" i="22"/>
  <c r="E137" i="22"/>
  <c r="E181" i="22"/>
  <c r="H131" i="22"/>
  <c r="K137" i="22"/>
  <c r="F181" i="22"/>
  <c r="K68" i="22"/>
  <c r="I131" i="22"/>
  <c r="G181" i="22"/>
  <c r="K224" i="22"/>
  <c r="L273" i="22"/>
  <c r="L58" i="22"/>
  <c r="H102" i="22"/>
  <c r="K225" i="22"/>
  <c r="K249" i="22"/>
  <c r="L123" i="22"/>
  <c r="K148" i="22"/>
  <c r="L225" i="22"/>
  <c r="K250" i="22"/>
  <c r="L33" i="22"/>
  <c r="K138" i="22"/>
  <c r="K322" i="22" s="1"/>
  <c r="L250" i="22"/>
  <c r="J103" i="22"/>
  <c r="L106" i="22"/>
  <c r="L108" i="22" s="1"/>
  <c r="L138" i="22"/>
  <c r="K156" i="22"/>
  <c r="K206" i="22" s="1"/>
  <c r="M103" i="22"/>
  <c r="K142" i="22"/>
  <c r="L171" i="22"/>
  <c r="J90" i="6"/>
  <c r="E168" i="17"/>
  <c r="F168" i="17"/>
  <c r="G168" i="17"/>
  <c r="M24" i="6"/>
  <c r="M24" i="7"/>
  <c r="M24" i="8"/>
  <c r="M24" i="10"/>
  <c r="M24" i="11"/>
  <c r="M24" i="12"/>
  <c r="M24" i="13"/>
  <c r="M24" i="14"/>
  <c r="M24" i="15"/>
  <c r="M24" i="16"/>
  <c r="M24" i="17"/>
  <c r="M24" i="18"/>
  <c r="M24" i="19"/>
  <c r="M24" i="20"/>
  <c r="M24" i="21"/>
  <c r="L192" i="23" l="1"/>
  <c r="L69" i="23"/>
  <c r="L138" i="23"/>
  <c r="L33" i="23"/>
  <c r="L9" i="23"/>
  <c r="L58" i="23"/>
  <c r="M103" i="23"/>
  <c r="M69" i="23" s="1"/>
  <c r="L300" i="23"/>
  <c r="J131" i="23"/>
  <c r="L225" i="23"/>
  <c r="K156" i="29"/>
  <c r="K208" i="29" s="1"/>
  <c r="K145" i="29"/>
  <c r="K159" i="29"/>
  <c r="K209" i="29" s="1"/>
  <c r="K151" i="29"/>
  <c r="K143" i="29"/>
  <c r="O276" i="29"/>
  <c r="O287" i="29"/>
  <c r="O262" i="29"/>
  <c r="L36" i="29"/>
  <c r="F54" i="29"/>
  <c r="F53" i="29"/>
  <c r="F52" i="29"/>
  <c r="F51" i="29"/>
  <c r="M174" i="29"/>
  <c r="M110" i="29"/>
  <c r="M176" i="29" s="1"/>
  <c r="M62" i="29"/>
  <c r="M63" i="29" s="1"/>
  <c r="M108" i="29"/>
  <c r="M175" i="29" s="1"/>
  <c r="N107" i="29"/>
  <c r="M195" i="29"/>
  <c r="N106" i="29"/>
  <c r="M253" i="29"/>
  <c r="M228" i="29"/>
  <c r="M141" i="29"/>
  <c r="M9" i="29"/>
  <c r="M35" i="29"/>
  <c r="M61" i="29"/>
  <c r="M303" i="29"/>
  <c r="L155" i="29"/>
  <c r="L207" i="29" s="1"/>
  <c r="L144" i="29"/>
  <c r="L154" i="29"/>
  <c r="L109" i="29"/>
  <c r="L111" i="29" s="1"/>
  <c r="L156" i="29"/>
  <c r="L208" i="29" s="1"/>
  <c r="L145" i="29"/>
  <c r="L159" i="29"/>
  <c r="L209" i="29" s="1"/>
  <c r="L151" i="29"/>
  <c r="L143" i="29"/>
  <c r="K155" i="29"/>
  <c r="K207" i="29" s="1"/>
  <c r="K144" i="29"/>
  <c r="K154" i="29"/>
  <c r="K84" i="29"/>
  <c r="L161" i="29"/>
  <c r="L325" i="29"/>
  <c r="K109" i="29"/>
  <c r="K111" i="29" s="1"/>
  <c r="K215" i="29"/>
  <c r="K216" i="29" s="1"/>
  <c r="M135" i="29"/>
  <c r="L126" i="29"/>
  <c r="E26" i="29"/>
  <c r="L120" i="29"/>
  <c r="L197" i="29" s="1"/>
  <c r="M136" i="29"/>
  <c r="H132" i="29"/>
  <c r="H64" i="29"/>
  <c r="H65" i="29" s="1"/>
  <c r="M59" i="28"/>
  <c r="M60" i="28" s="1"/>
  <c r="M107" i="28"/>
  <c r="M173" i="28" s="1"/>
  <c r="M171" i="28"/>
  <c r="M105" i="28"/>
  <c r="M172" i="28" s="1"/>
  <c r="N104" i="28"/>
  <c r="N103" i="28"/>
  <c r="M225" i="28"/>
  <c r="M138" i="28"/>
  <c r="M9" i="28"/>
  <c r="M33" i="28"/>
  <c r="M250" i="28"/>
  <c r="M58" i="28"/>
  <c r="M192" i="28"/>
  <c r="M300" i="28"/>
  <c r="L116" i="28"/>
  <c r="N273" i="28"/>
  <c r="N284" i="28"/>
  <c r="O251" i="28"/>
  <c r="N259" i="28"/>
  <c r="I103" i="28"/>
  <c r="G138" i="28"/>
  <c r="L142" i="28"/>
  <c r="L148" i="28"/>
  <c r="L140" i="28"/>
  <c r="L153" i="28"/>
  <c r="L156" i="28"/>
  <c r="M133" i="28"/>
  <c r="L117" i="28"/>
  <c r="L194" i="28" s="1"/>
  <c r="K81" i="28"/>
  <c r="L158" i="28"/>
  <c r="K74" i="28"/>
  <c r="K152" i="28"/>
  <c r="K204" i="28" s="1"/>
  <c r="K151" i="28"/>
  <c r="K141" i="28"/>
  <c r="K106" i="28"/>
  <c r="K108" i="28" s="1"/>
  <c r="L152" i="28"/>
  <c r="L204" i="28" s="1"/>
  <c r="L141" i="28"/>
  <c r="L151" i="28"/>
  <c r="L212" i="28"/>
  <c r="L213" i="28" s="1"/>
  <c r="K142" i="28"/>
  <c r="K156" i="28"/>
  <c r="K206" i="28" s="1"/>
  <c r="K148" i="28"/>
  <c r="K140" i="28"/>
  <c r="K153" i="28"/>
  <c r="K205" i="28" s="1"/>
  <c r="N132" i="28"/>
  <c r="M123" i="28"/>
  <c r="M51" i="28"/>
  <c r="I165" i="28" s="1"/>
  <c r="E24" i="28"/>
  <c r="M48" i="28" s="1"/>
  <c r="L60" i="28"/>
  <c r="M322" i="28"/>
  <c r="F51" i="28"/>
  <c r="F49" i="28"/>
  <c r="F48" i="28"/>
  <c r="F50" i="28"/>
  <c r="M34" i="28"/>
  <c r="N287" i="26"/>
  <c r="N276" i="26"/>
  <c r="H134" i="26"/>
  <c r="O254" i="26"/>
  <c r="O287" i="26" s="1"/>
  <c r="H119" i="26"/>
  <c r="H121" i="26" s="1"/>
  <c r="H123" i="26" s="1"/>
  <c r="H64" i="26" s="1"/>
  <c r="H65" i="26" s="1"/>
  <c r="K109" i="26"/>
  <c r="K111" i="26" s="1"/>
  <c r="K119" i="26" s="1"/>
  <c r="K121" i="26" s="1"/>
  <c r="I134" i="26"/>
  <c r="L195" i="26"/>
  <c r="L35" i="26"/>
  <c r="L9" i="26"/>
  <c r="L61" i="26"/>
  <c r="H132" i="26"/>
  <c r="M106" i="26"/>
  <c r="M9" i="26" s="1"/>
  <c r="L303" i="26"/>
  <c r="I133" i="26"/>
  <c r="L253" i="26"/>
  <c r="G141" i="26"/>
  <c r="F141" i="26"/>
  <c r="J119" i="26"/>
  <c r="J121" i="26" s="1"/>
  <c r="J123" i="26" s="1"/>
  <c r="J114" i="26"/>
  <c r="L36" i="26"/>
  <c r="K84" i="26"/>
  <c r="L161" i="26"/>
  <c r="K156" i="26"/>
  <c r="K208" i="26" s="1"/>
  <c r="K145" i="26"/>
  <c r="K159" i="26"/>
  <c r="K209" i="26" s="1"/>
  <c r="K151" i="26"/>
  <c r="K143" i="26"/>
  <c r="K215" i="26"/>
  <c r="K216" i="26" s="1"/>
  <c r="K155" i="26"/>
  <c r="K207" i="26" s="1"/>
  <c r="K144" i="26"/>
  <c r="K154" i="26"/>
  <c r="M135" i="26"/>
  <c r="L126" i="26"/>
  <c r="K148" i="26"/>
  <c r="O276" i="26"/>
  <c r="L325" i="26"/>
  <c r="L108" i="26"/>
  <c r="M174" i="26"/>
  <c r="M110" i="26"/>
  <c r="M176" i="26" s="1"/>
  <c r="M62" i="26"/>
  <c r="M63" i="26" s="1"/>
  <c r="M108" i="26"/>
  <c r="M175" i="26" s="1"/>
  <c r="N107" i="26"/>
  <c r="L110" i="26"/>
  <c r="L176" i="26" s="1"/>
  <c r="L120" i="26"/>
  <c r="L197" i="26" s="1"/>
  <c r="M136" i="26"/>
  <c r="L156" i="26"/>
  <c r="L145" i="26"/>
  <c r="L159" i="26"/>
  <c r="L151" i="26"/>
  <c r="L143" i="26"/>
  <c r="K158" i="24"/>
  <c r="K81" i="24" s="1"/>
  <c r="I111" i="24"/>
  <c r="I61" i="24"/>
  <c r="I62" i="24" s="1"/>
  <c r="J130" i="24"/>
  <c r="E19" i="24"/>
  <c r="M24" i="24" s="1"/>
  <c r="J61" i="24"/>
  <c r="J62" i="24" s="1"/>
  <c r="H116" i="24"/>
  <c r="H118" i="24" s="1"/>
  <c r="H120" i="24" s="1"/>
  <c r="H111" i="24"/>
  <c r="M34" i="24"/>
  <c r="L117" i="24"/>
  <c r="L194" i="24" s="1"/>
  <c r="M133" i="24"/>
  <c r="O273" i="24"/>
  <c r="O284" i="24"/>
  <c r="O259" i="24"/>
  <c r="L322" i="24"/>
  <c r="I113" i="24"/>
  <c r="I131" i="24"/>
  <c r="K116" i="24"/>
  <c r="K118" i="24" s="1"/>
  <c r="M192" i="24"/>
  <c r="M9" i="24"/>
  <c r="N103" i="24"/>
  <c r="M33" i="24"/>
  <c r="M138" i="24"/>
  <c r="M250" i="24"/>
  <c r="M225" i="24"/>
  <c r="M58" i="24"/>
  <c r="M300" i="24"/>
  <c r="L107" i="24"/>
  <c r="L173" i="24" s="1"/>
  <c r="L171" i="24"/>
  <c r="L59" i="24"/>
  <c r="L60" i="24" s="1"/>
  <c r="L105" i="24"/>
  <c r="L172" i="24" s="1"/>
  <c r="M104" i="24"/>
  <c r="K153" i="24"/>
  <c r="K205" i="24" s="1"/>
  <c r="K142" i="24"/>
  <c r="K156" i="24"/>
  <c r="K206" i="24" s="1"/>
  <c r="K148" i="24"/>
  <c r="K140" i="24"/>
  <c r="K145" i="24"/>
  <c r="K212" i="24"/>
  <c r="K213" i="24" s="1"/>
  <c r="M132" i="24"/>
  <c r="L123" i="24"/>
  <c r="K152" i="24"/>
  <c r="K204" i="24" s="1"/>
  <c r="K141" i="24"/>
  <c r="K151" i="24"/>
  <c r="L107" i="23"/>
  <c r="L173" i="23" s="1"/>
  <c r="L171" i="23"/>
  <c r="L59" i="23"/>
  <c r="L60" i="23" s="1"/>
  <c r="L105" i="23"/>
  <c r="L172" i="23" s="1"/>
  <c r="M104" i="23"/>
  <c r="K152" i="23"/>
  <c r="K204" i="23" s="1"/>
  <c r="K141" i="23"/>
  <c r="K151" i="23"/>
  <c r="M24" i="23"/>
  <c r="E21" i="23"/>
  <c r="K212" i="23"/>
  <c r="K213" i="23" s="1"/>
  <c r="K145" i="23"/>
  <c r="L322" i="23"/>
  <c r="N273" i="23"/>
  <c r="N284" i="23"/>
  <c r="N259" i="23"/>
  <c r="O251" i="23"/>
  <c r="I113" i="23"/>
  <c r="I131" i="23"/>
  <c r="L34" i="23"/>
  <c r="K153" i="23"/>
  <c r="K205" i="23" s="1"/>
  <c r="K142" i="23"/>
  <c r="K156" i="23"/>
  <c r="K206" i="23" s="1"/>
  <c r="K148" i="23"/>
  <c r="K140" i="23"/>
  <c r="M132" i="23"/>
  <c r="L123" i="23"/>
  <c r="L65" i="23" s="1"/>
  <c r="L66" i="23" s="1"/>
  <c r="L117" i="23"/>
  <c r="L194" i="23" s="1"/>
  <c r="M133" i="23"/>
  <c r="K106" i="23"/>
  <c r="K108" i="23" s="1"/>
  <c r="M192" i="23"/>
  <c r="N103" i="23"/>
  <c r="N69" i="23" s="1"/>
  <c r="M33" i="23"/>
  <c r="M138" i="23"/>
  <c r="M250" i="23"/>
  <c r="M225" i="23"/>
  <c r="M58" i="23"/>
  <c r="M300" i="23"/>
  <c r="M9" i="23"/>
  <c r="L81" i="23"/>
  <c r="M158" i="23"/>
  <c r="N273" i="22"/>
  <c r="N284" i="22"/>
  <c r="N259" i="22"/>
  <c r="O251" i="22"/>
  <c r="K145" i="22"/>
  <c r="M212" i="22"/>
  <c r="M213" i="22" s="1"/>
  <c r="L116" i="22"/>
  <c r="L322" i="22"/>
  <c r="K201" i="22"/>
  <c r="L142" i="22"/>
  <c r="L156" i="22"/>
  <c r="L206" i="22" s="1"/>
  <c r="L148" i="22"/>
  <c r="L140" i="22"/>
  <c r="L199" i="22" s="1"/>
  <c r="L153" i="22"/>
  <c r="L205" i="22" s="1"/>
  <c r="N158" i="22"/>
  <c r="L117" i="22"/>
  <c r="L194" i="22" s="1"/>
  <c r="M133" i="22"/>
  <c r="M171" i="22"/>
  <c r="M105" i="22"/>
  <c r="M172" i="22" s="1"/>
  <c r="N104" i="22"/>
  <c r="M107" i="22"/>
  <c r="M173" i="22" s="1"/>
  <c r="M34" i="22"/>
  <c r="K152" i="22"/>
  <c r="K204" i="22" s="1"/>
  <c r="K141" i="22"/>
  <c r="K151" i="22"/>
  <c r="I103" i="22"/>
  <c r="G138" i="22"/>
  <c r="K106" i="22"/>
  <c r="K108" i="22" s="1"/>
  <c r="M24" i="22"/>
  <c r="E21" i="22"/>
  <c r="J113" i="22"/>
  <c r="J131" i="22"/>
  <c r="K202" i="22"/>
  <c r="O132" i="22"/>
  <c r="M192" i="22"/>
  <c r="N103" i="22"/>
  <c r="M138" i="22"/>
  <c r="M250" i="22"/>
  <c r="M33" i="22"/>
  <c r="M225" i="22"/>
  <c r="M69" i="22"/>
  <c r="M58" i="22"/>
  <c r="M300" i="22"/>
  <c r="M9" i="22"/>
  <c r="L212" i="22"/>
  <c r="L213" i="22" s="1"/>
  <c r="L152" i="22"/>
  <c r="L204" i="22" s="1"/>
  <c r="L141" i="22"/>
  <c r="L151" i="22"/>
  <c r="J332" i="6"/>
  <c r="L145" i="23" l="1"/>
  <c r="L158" i="24"/>
  <c r="L81" i="24" s="1"/>
  <c r="M145" i="29"/>
  <c r="M159" i="29"/>
  <c r="M209" i="29" s="1"/>
  <c r="M151" i="29"/>
  <c r="M143" i="29"/>
  <c r="M156" i="29"/>
  <c r="M208" i="29" s="1"/>
  <c r="L119" i="29"/>
  <c r="L121" i="29" s="1"/>
  <c r="H162" i="29"/>
  <c r="J162" i="29" s="1"/>
  <c r="L206" i="29"/>
  <c r="L157" i="29"/>
  <c r="H163" i="29"/>
  <c r="J163" i="29" s="1"/>
  <c r="J37" i="29"/>
  <c r="M325" i="29"/>
  <c r="J38" i="29"/>
  <c r="H164" i="29"/>
  <c r="J164" i="29" s="1"/>
  <c r="J39" i="29"/>
  <c r="H165" i="29"/>
  <c r="J165" i="29" s="1"/>
  <c r="L84" i="29"/>
  <c r="M161" i="29"/>
  <c r="M120" i="29"/>
  <c r="M197" i="29" s="1"/>
  <c r="N136" i="29"/>
  <c r="K206" i="29"/>
  <c r="K157" i="29"/>
  <c r="M36" i="29"/>
  <c r="L215" i="29"/>
  <c r="L216" i="29" s="1"/>
  <c r="L203" i="29"/>
  <c r="K203" i="29"/>
  <c r="N135" i="29"/>
  <c r="M126" i="29"/>
  <c r="O106" i="29"/>
  <c r="N253" i="29"/>
  <c r="N228" i="29"/>
  <c r="N141" i="29"/>
  <c r="N9" i="29"/>
  <c r="N35" i="29"/>
  <c r="N61" i="29"/>
  <c r="N303" i="29"/>
  <c r="N195" i="29"/>
  <c r="M202" i="29"/>
  <c r="K77" i="29"/>
  <c r="M205" i="29"/>
  <c r="L202" i="29"/>
  <c r="K202" i="29"/>
  <c r="N174" i="29"/>
  <c r="N110" i="29"/>
  <c r="N176" i="29" s="1"/>
  <c r="N62" i="29"/>
  <c r="N63" i="29" s="1"/>
  <c r="N108" i="29"/>
  <c r="N175" i="29" s="1"/>
  <c r="O107" i="29"/>
  <c r="L205" i="29"/>
  <c r="K205" i="29"/>
  <c r="K119" i="29"/>
  <c r="K121" i="29" s="1"/>
  <c r="M204" i="29"/>
  <c r="M155" i="29"/>
  <c r="M207" i="29" s="1"/>
  <c r="M144" i="29"/>
  <c r="M154" i="29"/>
  <c r="M109" i="29"/>
  <c r="M111" i="29" s="1"/>
  <c r="L204" i="29"/>
  <c r="K204" i="29"/>
  <c r="L148" i="29"/>
  <c r="M212" i="28"/>
  <c r="M213" i="28" s="1"/>
  <c r="L199" i="28"/>
  <c r="K199" i="28"/>
  <c r="L202" i="28"/>
  <c r="K202" i="28"/>
  <c r="M117" i="28"/>
  <c r="M194" i="28" s="1"/>
  <c r="N133" i="28"/>
  <c r="L201" i="28"/>
  <c r="K201" i="28"/>
  <c r="L206" i="28"/>
  <c r="J36" i="28"/>
  <c r="H161" i="28"/>
  <c r="J161" i="28" s="1"/>
  <c r="L74" i="28"/>
  <c r="L205" i="28"/>
  <c r="H159" i="28"/>
  <c r="J159" i="28" s="1"/>
  <c r="O132" i="28"/>
  <c r="N123" i="28"/>
  <c r="H160" i="28"/>
  <c r="J160" i="28" s="1"/>
  <c r="J35" i="28"/>
  <c r="L203" i="28"/>
  <c r="L154" i="28"/>
  <c r="O103" i="28"/>
  <c r="N250" i="28"/>
  <c r="N33" i="28"/>
  <c r="N225" i="28"/>
  <c r="N192" i="28"/>
  <c r="N58" i="28"/>
  <c r="N9" i="28"/>
  <c r="N138" i="28"/>
  <c r="N300" i="28"/>
  <c r="H162" i="28"/>
  <c r="J162" i="28" s="1"/>
  <c r="J37" i="28"/>
  <c r="N322" i="28"/>
  <c r="K116" i="28"/>
  <c r="K118" i="28" s="1"/>
  <c r="F138" i="28"/>
  <c r="H103" i="28"/>
  <c r="E138" i="28" s="1"/>
  <c r="L200" i="28"/>
  <c r="K200" i="28"/>
  <c r="K154" i="28"/>
  <c r="K203" i="28"/>
  <c r="N59" i="28"/>
  <c r="N60" i="28" s="1"/>
  <c r="N107" i="28"/>
  <c r="N173" i="28" s="1"/>
  <c r="N171" i="28"/>
  <c r="N106" i="28"/>
  <c r="N108" i="28" s="1"/>
  <c r="N105" i="28"/>
  <c r="N172" i="28" s="1"/>
  <c r="O104" i="28"/>
  <c r="O273" i="28"/>
  <c r="O284" i="28"/>
  <c r="O259" i="28"/>
  <c r="M141" i="28"/>
  <c r="M152" i="28"/>
  <c r="M204" i="28" s="1"/>
  <c r="M151" i="28"/>
  <c r="L145" i="28"/>
  <c r="M145" i="28" s="1"/>
  <c r="M156" i="28"/>
  <c r="M206" i="28" s="1"/>
  <c r="M148" i="28"/>
  <c r="M153" i="28"/>
  <c r="M205" i="28" s="1"/>
  <c r="M142" i="28"/>
  <c r="M140" i="28"/>
  <c r="M199" i="28" s="1"/>
  <c r="N34" i="28"/>
  <c r="E27" i="28"/>
  <c r="E29" i="28" s="1"/>
  <c r="H146" i="28" s="1"/>
  <c r="J146" i="28" s="1"/>
  <c r="L118" i="28"/>
  <c r="M106" i="28"/>
  <c r="M108" i="28" s="1"/>
  <c r="M158" i="28"/>
  <c r="L81" i="28"/>
  <c r="O262" i="26"/>
  <c r="N106" i="26"/>
  <c r="M195" i="26"/>
  <c r="M303" i="26"/>
  <c r="M61" i="26"/>
  <c r="M141" i="26"/>
  <c r="M228" i="26"/>
  <c r="M253" i="26"/>
  <c r="M35" i="26"/>
  <c r="J116" i="26"/>
  <c r="J134" i="26"/>
  <c r="L148" i="26"/>
  <c r="J132" i="26"/>
  <c r="J64" i="26"/>
  <c r="J65" i="26" s="1"/>
  <c r="J133" i="26"/>
  <c r="M109" i="26"/>
  <c r="M111" i="26" s="1"/>
  <c r="K77" i="26"/>
  <c r="M145" i="26"/>
  <c r="M204" i="26" s="1"/>
  <c r="M159" i="26"/>
  <c r="M209" i="26" s="1"/>
  <c r="M151" i="26"/>
  <c r="M205" i="26" s="1"/>
  <c r="M143" i="26"/>
  <c r="M156" i="26"/>
  <c r="M208" i="26" s="1"/>
  <c r="L202" i="26"/>
  <c r="K202" i="26"/>
  <c r="N174" i="26"/>
  <c r="N110" i="26"/>
  <c r="N176" i="26" s="1"/>
  <c r="N62" i="26"/>
  <c r="N63" i="26" s="1"/>
  <c r="N108" i="26"/>
  <c r="N175" i="26" s="1"/>
  <c r="O107" i="26"/>
  <c r="L205" i="26"/>
  <c r="K205" i="26"/>
  <c r="L204" i="26"/>
  <c r="K204" i="26"/>
  <c r="L175" i="26"/>
  <c r="L109" i="26"/>
  <c r="L111" i="26" s="1"/>
  <c r="O106" i="26"/>
  <c r="N9" i="26"/>
  <c r="N35" i="26"/>
  <c r="N253" i="26"/>
  <c r="N228" i="26"/>
  <c r="N141" i="26"/>
  <c r="N61" i="26"/>
  <c r="N303" i="26"/>
  <c r="N195" i="26"/>
  <c r="F54" i="26"/>
  <c r="F53" i="26"/>
  <c r="F52" i="26"/>
  <c r="F51" i="26"/>
  <c r="M155" i="26"/>
  <c r="M144" i="26"/>
  <c r="M154" i="26"/>
  <c r="L84" i="26"/>
  <c r="M161" i="26"/>
  <c r="L209" i="26"/>
  <c r="M325" i="26"/>
  <c r="M36" i="26"/>
  <c r="L208" i="26"/>
  <c r="K206" i="26"/>
  <c r="K157" i="26"/>
  <c r="M120" i="26"/>
  <c r="M197" i="26" s="1"/>
  <c r="N136" i="26"/>
  <c r="L215" i="26"/>
  <c r="L216" i="26" s="1"/>
  <c r="K203" i="26"/>
  <c r="N135" i="26"/>
  <c r="M126" i="26"/>
  <c r="K123" i="26"/>
  <c r="E21" i="24"/>
  <c r="H113" i="24"/>
  <c r="H131" i="24"/>
  <c r="H129" i="24"/>
  <c r="H61" i="24"/>
  <c r="H62" i="24" s="1"/>
  <c r="I130" i="24"/>
  <c r="M158" i="24"/>
  <c r="M81" i="24" s="1"/>
  <c r="M322" i="24"/>
  <c r="K154" i="24"/>
  <c r="K203" i="24"/>
  <c r="K202" i="24"/>
  <c r="O103" i="24"/>
  <c r="N33" i="24"/>
  <c r="N138" i="24"/>
  <c r="N250" i="24"/>
  <c r="N225" i="24"/>
  <c r="N58" i="24"/>
  <c r="N300" i="24"/>
  <c r="N192" i="24"/>
  <c r="N9" i="24"/>
  <c r="K201" i="24"/>
  <c r="M117" i="24"/>
  <c r="M194" i="24" s="1"/>
  <c r="N133" i="24"/>
  <c r="K199" i="24"/>
  <c r="M171" i="24"/>
  <c r="M59" i="24"/>
  <c r="M60" i="24" s="1"/>
  <c r="M105" i="24"/>
  <c r="M172" i="24" s="1"/>
  <c r="N104" i="24"/>
  <c r="M107" i="24"/>
  <c r="M173" i="24" s="1"/>
  <c r="K120" i="24"/>
  <c r="L152" i="24"/>
  <c r="L204" i="24" s="1"/>
  <c r="L141" i="24"/>
  <c r="L200" i="24" s="1"/>
  <c r="L151" i="24"/>
  <c r="N132" i="24"/>
  <c r="M123" i="24"/>
  <c r="L106" i="24"/>
  <c r="L108" i="24" s="1"/>
  <c r="M51" i="24"/>
  <c r="I165" i="24" s="1"/>
  <c r="E24" i="24"/>
  <c r="K74" i="24"/>
  <c r="F51" i="24"/>
  <c r="F50" i="24"/>
  <c r="F49" i="24"/>
  <c r="F48" i="24"/>
  <c r="L212" i="24"/>
  <c r="L213" i="24" s="1"/>
  <c r="L145" i="24"/>
  <c r="L142" i="24"/>
  <c r="L156" i="24"/>
  <c r="L206" i="24" s="1"/>
  <c r="L148" i="24"/>
  <c r="L202" i="24" s="1"/>
  <c r="L140" i="24"/>
  <c r="L199" i="24" s="1"/>
  <c r="L153" i="24"/>
  <c r="L205" i="24" s="1"/>
  <c r="N34" i="24"/>
  <c r="K200" i="24"/>
  <c r="K74" i="23"/>
  <c r="K154" i="23"/>
  <c r="K203" i="23"/>
  <c r="M50" i="23"/>
  <c r="I165" i="23" s="1"/>
  <c r="E24" i="23"/>
  <c r="K200" i="23"/>
  <c r="K201" i="23"/>
  <c r="F51" i="23"/>
  <c r="F50" i="23"/>
  <c r="F49" i="23"/>
  <c r="F48" i="23"/>
  <c r="M107" i="23"/>
  <c r="M173" i="23" s="1"/>
  <c r="M171" i="23"/>
  <c r="M59" i="23"/>
  <c r="M60" i="23" s="1"/>
  <c r="M105" i="23"/>
  <c r="M172" i="23" s="1"/>
  <c r="N104" i="23"/>
  <c r="O103" i="23"/>
  <c r="O69" i="23" s="1"/>
  <c r="N33" i="23"/>
  <c r="N138" i="23"/>
  <c r="N250" i="23"/>
  <c r="N225" i="23"/>
  <c r="N58" i="23"/>
  <c r="N192" i="23"/>
  <c r="N300" i="23"/>
  <c r="N9" i="23"/>
  <c r="L152" i="23"/>
  <c r="L204" i="23" s="1"/>
  <c r="L141" i="23"/>
  <c r="L151" i="23"/>
  <c r="M34" i="23"/>
  <c r="K116" i="23"/>
  <c r="K118" i="23" s="1"/>
  <c r="L106" i="23"/>
  <c r="L108" i="23" s="1"/>
  <c r="M81" i="23"/>
  <c r="N158" i="23"/>
  <c r="N132" i="23"/>
  <c r="M123" i="23"/>
  <c r="M65" i="23" s="1"/>
  <c r="M66" i="23" s="1"/>
  <c r="M322" i="23"/>
  <c r="K199" i="23"/>
  <c r="L142" i="23"/>
  <c r="L156" i="23"/>
  <c r="L206" i="23" s="1"/>
  <c r="L148" i="23"/>
  <c r="L140" i="23"/>
  <c r="L153" i="23"/>
  <c r="L205" i="23" s="1"/>
  <c r="O273" i="23"/>
  <c r="O284" i="23"/>
  <c r="O259" i="23"/>
  <c r="M117" i="23"/>
  <c r="M194" i="23" s="1"/>
  <c r="N133" i="23"/>
  <c r="L212" i="23"/>
  <c r="L213" i="23" s="1"/>
  <c r="K202" i="23"/>
  <c r="F51" i="22"/>
  <c r="F49" i="22"/>
  <c r="F48" i="22"/>
  <c r="F50" i="22"/>
  <c r="O158" i="22"/>
  <c r="O273" i="22"/>
  <c r="O284" i="22"/>
  <c r="O259" i="22"/>
  <c r="L118" i="22"/>
  <c r="L120" i="22" s="1"/>
  <c r="H103" i="22"/>
  <c r="E138" i="22" s="1"/>
  <c r="F138" i="22"/>
  <c r="K154" i="22"/>
  <c r="K203" i="22"/>
  <c r="N34" i="22"/>
  <c r="N171" i="22"/>
  <c r="N105" i="22"/>
  <c r="N172" i="22" s="1"/>
  <c r="N106" i="22"/>
  <c r="O104" i="22"/>
  <c r="N107" i="22"/>
  <c r="N173" i="22" s="1"/>
  <c r="N123" i="22"/>
  <c r="K116" i="22"/>
  <c r="K118" i="22" s="1"/>
  <c r="K120" i="22" s="1"/>
  <c r="O123" i="22"/>
  <c r="L145" i="22"/>
  <c r="M201" i="22"/>
  <c r="O103" i="22"/>
  <c r="N33" i="22"/>
  <c r="N250" i="22"/>
  <c r="N225" i="22"/>
  <c r="N138" i="22"/>
  <c r="N9" i="22"/>
  <c r="N58" i="22"/>
  <c r="N300" i="22"/>
  <c r="N69" i="22"/>
  <c r="N192" i="22"/>
  <c r="M152" i="22"/>
  <c r="M204" i="22" s="1"/>
  <c r="M141" i="22"/>
  <c r="M151" i="22"/>
  <c r="M142" i="22"/>
  <c r="M156" i="22"/>
  <c r="M206" i="22" s="1"/>
  <c r="M148" i="22"/>
  <c r="M140" i="22"/>
  <c r="M153" i="22"/>
  <c r="M205" i="22" s="1"/>
  <c r="L154" i="22"/>
  <c r="L203" i="22"/>
  <c r="L202" i="22"/>
  <c r="M322" i="22"/>
  <c r="L201" i="22"/>
  <c r="M50" i="22"/>
  <c r="I165" i="22" s="1"/>
  <c r="E24" i="22"/>
  <c r="L200" i="22"/>
  <c r="L207" i="22" s="1"/>
  <c r="K200" i="22"/>
  <c r="M106" i="22"/>
  <c r="M108" i="22" s="1"/>
  <c r="M200" i="22"/>
  <c r="M117" i="22"/>
  <c r="M194" i="22" s="1"/>
  <c r="N133" i="22"/>
  <c r="L251" i="21"/>
  <c r="M251" i="21" s="1"/>
  <c r="N251" i="21" s="1"/>
  <c r="O251" i="21" s="1"/>
  <c r="B206" i="21"/>
  <c r="B205" i="21"/>
  <c r="B204" i="21"/>
  <c r="B203" i="21"/>
  <c r="B202" i="21"/>
  <c r="B201" i="21"/>
  <c r="B200" i="21"/>
  <c r="B199" i="21"/>
  <c r="O186" i="21"/>
  <c r="O187" i="21" s="1"/>
  <c r="N186" i="21"/>
  <c r="N187" i="21" s="1"/>
  <c r="M186" i="21"/>
  <c r="M187" i="21" s="1"/>
  <c r="L186" i="21"/>
  <c r="L187" i="21" s="1"/>
  <c r="K186" i="21"/>
  <c r="K187" i="21" s="1"/>
  <c r="G184" i="21"/>
  <c r="F184" i="21"/>
  <c r="E184" i="21"/>
  <c r="G183" i="21"/>
  <c r="F183" i="21"/>
  <c r="E183" i="21"/>
  <c r="G182" i="21"/>
  <c r="F182" i="21"/>
  <c r="E182" i="21"/>
  <c r="G181" i="21"/>
  <c r="F181" i="21"/>
  <c r="E181" i="21"/>
  <c r="G178" i="21"/>
  <c r="F178" i="21"/>
  <c r="E178" i="21"/>
  <c r="G177" i="21"/>
  <c r="F177" i="21"/>
  <c r="E177" i="21"/>
  <c r="G176" i="21"/>
  <c r="F176" i="21"/>
  <c r="E176" i="21"/>
  <c r="B173" i="21"/>
  <c r="B172" i="21"/>
  <c r="B171" i="21"/>
  <c r="G163" i="21"/>
  <c r="F163" i="21"/>
  <c r="E163" i="21"/>
  <c r="B162" i="21"/>
  <c r="B244" i="21" s="1"/>
  <c r="B288" i="21" s="1"/>
  <c r="B314" i="21" s="1"/>
  <c r="B161" i="21"/>
  <c r="B243" i="21" s="1"/>
  <c r="B277" i="21" s="1"/>
  <c r="B313" i="21" s="1"/>
  <c r="B160" i="21"/>
  <c r="B227" i="21" s="1"/>
  <c r="B159" i="21"/>
  <c r="B241" i="21" s="1"/>
  <c r="B253" i="21" s="1"/>
  <c r="K158" i="21"/>
  <c r="L158" i="21" s="1"/>
  <c r="G154" i="21"/>
  <c r="F154" i="21"/>
  <c r="E154" i="21"/>
  <c r="E186" i="21" s="1"/>
  <c r="E187" i="21" s="1"/>
  <c r="G143" i="21"/>
  <c r="G149" i="21" s="1"/>
  <c r="F143" i="21"/>
  <c r="F149" i="21" s="1"/>
  <c r="E143" i="21"/>
  <c r="E149" i="21" s="1"/>
  <c r="J133" i="21"/>
  <c r="K133" i="21" s="1"/>
  <c r="L133" i="21" s="1"/>
  <c r="M133" i="21" s="1"/>
  <c r="N133" i="21" s="1"/>
  <c r="O133" i="21" s="1"/>
  <c r="I133" i="21"/>
  <c r="H133" i="21"/>
  <c r="J132" i="21"/>
  <c r="K132" i="21" s="1"/>
  <c r="L132" i="21" s="1"/>
  <c r="M132" i="21" s="1"/>
  <c r="N132" i="21" s="1"/>
  <c r="O132" i="21" s="1"/>
  <c r="I132" i="21"/>
  <c r="H132" i="21"/>
  <c r="O130" i="21"/>
  <c r="N130" i="21"/>
  <c r="M130" i="21"/>
  <c r="L130" i="21"/>
  <c r="O129" i="21"/>
  <c r="N129" i="21"/>
  <c r="M129" i="21"/>
  <c r="L129" i="21"/>
  <c r="K129" i="21"/>
  <c r="J128" i="21"/>
  <c r="K128" i="21" s="1"/>
  <c r="L128" i="21" s="1"/>
  <c r="M128" i="21" s="1"/>
  <c r="N128" i="21" s="1"/>
  <c r="O128" i="21" s="1"/>
  <c r="I128" i="21"/>
  <c r="H128" i="21"/>
  <c r="J126" i="21"/>
  <c r="I126" i="21"/>
  <c r="J106" i="21"/>
  <c r="J127" i="21" s="1"/>
  <c r="K127" i="21" s="1"/>
  <c r="L127" i="21" s="1"/>
  <c r="M127" i="21" s="1"/>
  <c r="N127" i="21" s="1"/>
  <c r="O127" i="21" s="1"/>
  <c r="I106" i="21"/>
  <c r="I127" i="21" s="1"/>
  <c r="H106" i="21"/>
  <c r="H127" i="21" s="1"/>
  <c r="K103" i="21"/>
  <c r="K192" i="21" s="1"/>
  <c r="B89" i="21"/>
  <c r="B87" i="21"/>
  <c r="B85" i="21"/>
  <c r="B84" i="21"/>
  <c r="B83" i="21"/>
  <c r="K58" i="21"/>
  <c r="J58" i="21" s="1"/>
  <c r="I58" i="21" s="1"/>
  <c r="H58" i="21" s="1"/>
  <c r="B42" i="21"/>
  <c r="F37" i="21"/>
  <c r="F36" i="21"/>
  <c r="F35" i="21"/>
  <c r="F34" i="21"/>
  <c r="K32" i="21"/>
  <c r="E137" i="21" s="1"/>
  <c r="L251" i="20"/>
  <c r="M251" i="20" s="1"/>
  <c r="N251" i="20" s="1"/>
  <c r="O251" i="20" s="1"/>
  <c r="B206" i="20"/>
  <c r="B205" i="20"/>
  <c r="B204" i="20"/>
  <c r="B203" i="20"/>
  <c r="B202" i="20"/>
  <c r="B201" i="20"/>
  <c r="B200" i="20"/>
  <c r="B199" i="20"/>
  <c r="O186" i="20"/>
  <c r="O187" i="20" s="1"/>
  <c r="N186" i="20"/>
  <c r="N187" i="20" s="1"/>
  <c r="M186" i="20"/>
  <c r="M187" i="20" s="1"/>
  <c r="L186" i="20"/>
  <c r="L187" i="20" s="1"/>
  <c r="K186" i="20"/>
  <c r="K187" i="20" s="1"/>
  <c r="G184" i="20"/>
  <c r="F184" i="20"/>
  <c r="E184" i="20"/>
  <c r="G183" i="20"/>
  <c r="F183" i="20"/>
  <c r="E183" i="20"/>
  <c r="G182" i="20"/>
  <c r="F182" i="20"/>
  <c r="E182" i="20"/>
  <c r="G181" i="20"/>
  <c r="F181" i="20"/>
  <c r="E181" i="20"/>
  <c r="G178" i="20"/>
  <c r="F178" i="20"/>
  <c r="E178" i="20"/>
  <c r="G177" i="20"/>
  <c r="F177" i="20"/>
  <c r="E177" i="20"/>
  <c r="G176" i="20"/>
  <c r="F176" i="20"/>
  <c r="E176" i="20"/>
  <c r="B173" i="20"/>
  <c r="B172" i="20"/>
  <c r="B171" i="20"/>
  <c r="G163" i="20"/>
  <c r="E22" i="20" s="1"/>
  <c r="F163" i="20"/>
  <c r="E163" i="20"/>
  <c r="B162" i="20"/>
  <c r="B244" i="20" s="1"/>
  <c r="B288" i="20" s="1"/>
  <c r="B314" i="20" s="1"/>
  <c r="B161" i="20"/>
  <c r="B243" i="20" s="1"/>
  <c r="B277" i="20" s="1"/>
  <c r="B313" i="20" s="1"/>
  <c r="B160" i="20"/>
  <c r="B227" i="20" s="1"/>
  <c r="B159" i="20"/>
  <c r="B241" i="20" s="1"/>
  <c r="B253" i="20" s="1"/>
  <c r="K158" i="20"/>
  <c r="L158" i="20" s="1"/>
  <c r="G154" i="20"/>
  <c r="G166" i="20" s="1"/>
  <c r="F154" i="20"/>
  <c r="F166" i="20" s="1"/>
  <c r="E154" i="20"/>
  <c r="G143" i="20"/>
  <c r="G149" i="20" s="1"/>
  <c r="F143" i="20"/>
  <c r="F149" i="20" s="1"/>
  <c r="E143" i="20"/>
  <c r="E149" i="20" s="1"/>
  <c r="J133" i="20"/>
  <c r="K133" i="20" s="1"/>
  <c r="L133" i="20" s="1"/>
  <c r="M133" i="20" s="1"/>
  <c r="N133" i="20" s="1"/>
  <c r="O133" i="20" s="1"/>
  <c r="I133" i="20"/>
  <c r="H133" i="20"/>
  <c r="J132" i="20"/>
  <c r="K132" i="20" s="1"/>
  <c r="L132" i="20" s="1"/>
  <c r="M132" i="20" s="1"/>
  <c r="N132" i="20" s="1"/>
  <c r="O132" i="20" s="1"/>
  <c r="I132" i="20"/>
  <c r="H132" i="20"/>
  <c r="O130" i="20"/>
  <c r="N130" i="20"/>
  <c r="M130" i="20"/>
  <c r="L130" i="20"/>
  <c r="O129" i="20"/>
  <c r="N129" i="20"/>
  <c r="M129" i="20"/>
  <c r="L129" i="20"/>
  <c r="K129" i="20"/>
  <c r="K128" i="20"/>
  <c r="L128" i="20" s="1"/>
  <c r="M128" i="20" s="1"/>
  <c r="N128" i="20" s="1"/>
  <c r="O128" i="20" s="1"/>
  <c r="J128" i="20"/>
  <c r="I128" i="20"/>
  <c r="H128" i="20"/>
  <c r="J126" i="20"/>
  <c r="I126" i="20"/>
  <c r="J106" i="20"/>
  <c r="J127" i="20" s="1"/>
  <c r="K127" i="20" s="1"/>
  <c r="L127" i="20" s="1"/>
  <c r="M127" i="20" s="1"/>
  <c r="N127" i="20" s="1"/>
  <c r="O127" i="20" s="1"/>
  <c r="I106" i="20"/>
  <c r="I127" i="20" s="1"/>
  <c r="H106" i="20"/>
  <c r="H127" i="20" s="1"/>
  <c r="K103" i="20"/>
  <c r="K192" i="20" s="1"/>
  <c r="B89" i="20"/>
  <c r="B87" i="20"/>
  <c r="B85" i="20"/>
  <c r="B84" i="20"/>
  <c r="B83" i="20"/>
  <c r="B42" i="20"/>
  <c r="F37" i="20"/>
  <c r="F36" i="20"/>
  <c r="F35" i="20"/>
  <c r="F34" i="20"/>
  <c r="K32" i="20"/>
  <c r="E137" i="20" s="1"/>
  <c r="E28" i="20"/>
  <c r="E23" i="20"/>
  <c r="L251" i="19"/>
  <c r="M251" i="19" s="1"/>
  <c r="N251" i="19" s="1"/>
  <c r="O251" i="19" s="1"/>
  <c r="K250" i="19"/>
  <c r="B242" i="19"/>
  <c r="B266" i="19" s="1"/>
  <c r="B312" i="19" s="1"/>
  <c r="B206" i="19"/>
  <c r="B205" i="19"/>
  <c r="B204" i="19"/>
  <c r="B203" i="19"/>
  <c r="B202" i="19"/>
  <c r="B201" i="19"/>
  <c r="B200" i="19"/>
  <c r="B199" i="19"/>
  <c r="O186" i="19"/>
  <c r="O187" i="19" s="1"/>
  <c r="N186" i="19"/>
  <c r="N187" i="19" s="1"/>
  <c r="M186" i="19"/>
  <c r="M187" i="19" s="1"/>
  <c r="L186" i="19"/>
  <c r="L187" i="19" s="1"/>
  <c r="K186" i="19"/>
  <c r="K187" i="19" s="1"/>
  <c r="G184" i="19"/>
  <c r="F184" i="19"/>
  <c r="E184" i="19"/>
  <c r="G183" i="19"/>
  <c r="F183" i="19"/>
  <c r="E183" i="19"/>
  <c r="G182" i="19"/>
  <c r="F182" i="19"/>
  <c r="E182" i="19"/>
  <c r="G181" i="19"/>
  <c r="F181" i="19"/>
  <c r="E181" i="19"/>
  <c r="G178" i="19"/>
  <c r="F178" i="19"/>
  <c r="E178" i="19"/>
  <c r="G177" i="19"/>
  <c r="F177" i="19"/>
  <c r="E177" i="19"/>
  <c r="G176" i="19"/>
  <c r="F176" i="19"/>
  <c r="E176" i="19"/>
  <c r="B173" i="19"/>
  <c r="B172" i="19"/>
  <c r="B171" i="19"/>
  <c r="K163" i="19"/>
  <c r="G163" i="19"/>
  <c r="E22" i="19" s="1"/>
  <c r="F163" i="19"/>
  <c r="E163" i="19"/>
  <c r="B162" i="19"/>
  <c r="B244" i="19" s="1"/>
  <c r="B288" i="19" s="1"/>
  <c r="B314" i="19" s="1"/>
  <c r="B161" i="19"/>
  <c r="B243" i="19" s="1"/>
  <c r="B277" i="19" s="1"/>
  <c r="B313" i="19" s="1"/>
  <c r="B160" i="19"/>
  <c r="B227" i="19" s="1"/>
  <c r="B159" i="19"/>
  <c r="B241" i="19" s="1"/>
  <c r="B253" i="19" s="1"/>
  <c r="K158" i="19"/>
  <c r="L158" i="19" s="1"/>
  <c r="G154" i="19"/>
  <c r="G166" i="19" s="1"/>
  <c r="F154" i="19"/>
  <c r="F166" i="19" s="1"/>
  <c r="E154" i="19"/>
  <c r="E166" i="19" s="1"/>
  <c r="G143" i="19"/>
  <c r="G149" i="19" s="1"/>
  <c r="F143" i="19"/>
  <c r="F149" i="19" s="1"/>
  <c r="E143" i="19"/>
  <c r="E149" i="19" s="1"/>
  <c r="J133" i="19"/>
  <c r="K133" i="19" s="1"/>
  <c r="L133" i="19" s="1"/>
  <c r="I133" i="19"/>
  <c r="H133" i="19"/>
  <c r="J132" i="19"/>
  <c r="K132" i="19" s="1"/>
  <c r="I132" i="19"/>
  <c r="H132" i="19"/>
  <c r="J128" i="19"/>
  <c r="K128" i="19" s="1"/>
  <c r="L128" i="19" s="1"/>
  <c r="M128" i="19" s="1"/>
  <c r="N128" i="19" s="1"/>
  <c r="O128" i="19" s="1"/>
  <c r="I128" i="19"/>
  <c r="H128" i="19"/>
  <c r="J126" i="19"/>
  <c r="I126" i="19"/>
  <c r="J108" i="19"/>
  <c r="J116" i="19" s="1"/>
  <c r="J118" i="19" s="1"/>
  <c r="J120" i="19" s="1"/>
  <c r="J106" i="19"/>
  <c r="J127" i="19" s="1"/>
  <c r="K127" i="19" s="1"/>
  <c r="L127" i="19" s="1"/>
  <c r="M127" i="19" s="1"/>
  <c r="N127" i="19" s="1"/>
  <c r="O127" i="19" s="1"/>
  <c r="I106" i="19"/>
  <c r="I127" i="19" s="1"/>
  <c r="H106" i="19"/>
  <c r="H127" i="19" s="1"/>
  <c r="K103" i="19"/>
  <c r="K192" i="19" s="1"/>
  <c r="B89" i="19"/>
  <c r="B87" i="19"/>
  <c r="B85" i="19"/>
  <c r="B84" i="19"/>
  <c r="B83" i="19"/>
  <c r="B42" i="19"/>
  <c r="F37" i="19"/>
  <c r="F36" i="19"/>
  <c r="F35" i="19"/>
  <c r="J34" i="19"/>
  <c r="I34" i="19"/>
  <c r="K34" i="19" s="1"/>
  <c r="F34" i="19"/>
  <c r="K32" i="19"/>
  <c r="E137" i="19" s="1"/>
  <c r="E28" i="19"/>
  <c r="E23" i="19"/>
  <c r="G183" i="18"/>
  <c r="E182" i="18"/>
  <c r="F182" i="18"/>
  <c r="G182" i="18"/>
  <c r="E178" i="18"/>
  <c r="O168" i="17"/>
  <c r="N168" i="17"/>
  <c r="M168" i="17"/>
  <c r="L168" i="17"/>
  <c r="K168" i="17"/>
  <c r="L251" i="18"/>
  <c r="M251" i="18" s="1"/>
  <c r="N251" i="18" s="1"/>
  <c r="O251" i="18" s="1"/>
  <c r="B206" i="18"/>
  <c r="B205" i="18"/>
  <c r="B204" i="18"/>
  <c r="B203" i="18"/>
  <c r="B202" i="18"/>
  <c r="B201" i="18"/>
  <c r="B200" i="18"/>
  <c r="B199" i="18"/>
  <c r="O186" i="18"/>
  <c r="N186" i="18"/>
  <c r="M186" i="18"/>
  <c r="L186" i="18"/>
  <c r="K186" i="18"/>
  <c r="F184" i="18"/>
  <c r="F178" i="18"/>
  <c r="G176" i="18"/>
  <c r="F176" i="18"/>
  <c r="E176" i="18"/>
  <c r="B173" i="18"/>
  <c r="B172" i="18"/>
  <c r="F183" i="18"/>
  <c r="E184" i="18"/>
  <c r="B171" i="18"/>
  <c r="G163" i="18"/>
  <c r="F163" i="18"/>
  <c r="E163" i="18"/>
  <c r="B162" i="18"/>
  <c r="B244" i="18" s="1"/>
  <c r="B288" i="18" s="1"/>
  <c r="B314" i="18" s="1"/>
  <c r="B161" i="18"/>
  <c r="B243" i="18" s="1"/>
  <c r="B277" i="18" s="1"/>
  <c r="B313" i="18" s="1"/>
  <c r="B160" i="18"/>
  <c r="B227" i="18" s="1"/>
  <c r="B159" i="18"/>
  <c r="B241" i="18" s="1"/>
  <c r="B253" i="18" s="1"/>
  <c r="G154" i="18"/>
  <c r="F154" i="18"/>
  <c r="F166" i="18" s="1"/>
  <c r="E154" i="18"/>
  <c r="E166" i="18" s="1"/>
  <c r="E149" i="18"/>
  <c r="G143" i="18"/>
  <c r="G149" i="18" s="1"/>
  <c r="F143" i="18"/>
  <c r="F186" i="18" s="1"/>
  <c r="F187" i="18" s="1"/>
  <c r="E143" i="18"/>
  <c r="J133" i="18"/>
  <c r="K133" i="18" s="1"/>
  <c r="I133" i="18"/>
  <c r="H133" i="18"/>
  <c r="J132" i="18"/>
  <c r="K132" i="18" s="1"/>
  <c r="I132" i="18"/>
  <c r="H132" i="18"/>
  <c r="J128" i="18"/>
  <c r="K128" i="18" s="1"/>
  <c r="I128" i="18"/>
  <c r="H128" i="18"/>
  <c r="H127" i="18"/>
  <c r="J126" i="18"/>
  <c r="I126" i="18"/>
  <c r="J108" i="18"/>
  <c r="J111" i="18" s="1"/>
  <c r="H108" i="18"/>
  <c r="H116" i="18" s="1"/>
  <c r="H118" i="18" s="1"/>
  <c r="H120" i="18" s="1"/>
  <c r="H129" i="18" s="1"/>
  <c r="J106" i="18"/>
  <c r="J127" i="18" s="1"/>
  <c r="K127" i="18" s="1"/>
  <c r="L127" i="18" s="1"/>
  <c r="M127" i="18" s="1"/>
  <c r="N127" i="18" s="1"/>
  <c r="O127" i="18" s="1"/>
  <c r="I106" i="18"/>
  <c r="I127" i="18" s="1"/>
  <c r="H106" i="18"/>
  <c r="K104" i="18"/>
  <c r="K103" i="18"/>
  <c r="K192" i="18" s="1"/>
  <c r="B89" i="18"/>
  <c r="B87" i="18"/>
  <c r="B85" i="18"/>
  <c r="B84" i="18"/>
  <c r="B83" i="18"/>
  <c r="K58" i="18"/>
  <c r="J58" i="18" s="1"/>
  <c r="I58" i="18" s="1"/>
  <c r="H58" i="18" s="1"/>
  <c r="B42" i="18"/>
  <c r="F37" i="18"/>
  <c r="F36" i="18"/>
  <c r="F35" i="18"/>
  <c r="J34" i="18"/>
  <c r="I34" i="18"/>
  <c r="K34" i="18" s="1"/>
  <c r="F34" i="18"/>
  <c r="K32" i="18"/>
  <c r="K191" i="18" s="1"/>
  <c r="E28" i="18"/>
  <c r="E23" i="18"/>
  <c r="J139" i="17"/>
  <c r="J140" i="17"/>
  <c r="J141" i="17"/>
  <c r="J142" i="17"/>
  <c r="J145" i="17"/>
  <c r="J148" i="17"/>
  <c r="J151" i="17"/>
  <c r="J152" i="17"/>
  <c r="J153" i="17"/>
  <c r="J156" i="17"/>
  <c r="J158" i="17"/>
  <c r="K158" i="16"/>
  <c r="K163" i="16" s="1"/>
  <c r="L251" i="17"/>
  <c r="M251" i="17" s="1"/>
  <c r="N251" i="17" s="1"/>
  <c r="O251" i="17" s="1"/>
  <c r="B244" i="17"/>
  <c r="B288" i="17" s="1"/>
  <c r="B314" i="17" s="1"/>
  <c r="B243" i="17"/>
  <c r="B277" i="17" s="1"/>
  <c r="B313" i="17" s="1"/>
  <c r="B206" i="17"/>
  <c r="B205" i="17"/>
  <c r="B204" i="17"/>
  <c r="B203" i="17"/>
  <c r="B202" i="17"/>
  <c r="B201" i="17"/>
  <c r="B200" i="17"/>
  <c r="B199" i="17"/>
  <c r="G184" i="17"/>
  <c r="E176" i="17"/>
  <c r="B173" i="17"/>
  <c r="G182" i="17"/>
  <c r="B172" i="17"/>
  <c r="G183" i="17"/>
  <c r="F183" i="17"/>
  <c r="E184" i="17"/>
  <c r="B171" i="17"/>
  <c r="G163" i="17"/>
  <c r="E22" i="17" s="1"/>
  <c r="F163" i="17"/>
  <c r="E163" i="17"/>
  <c r="B162" i="17"/>
  <c r="B161" i="17"/>
  <c r="B160" i="17"/>
  <c r="B227" i="17" s="1"/>
  <c r="B159" i="17"/>
  <c r="B241" i="17" s="1"/>
  <c r="B253" i="17" s="1"/>
  <c r="G154" i="17"/>
  <c r="F154" i="17"/>
  <c r="F166" i="17" s="1"/>
  <c r="E154" i="17"/>
  <c r="E166" i="17" s="1"/>
  <c r="G149" i="17"/>
  <c r="G143" i="17"/>
  <c r="G186" i="17" s="1"/>
  <c r="G187" i="17" s="1"/>
  <c r="F143" i="17"/>
  <c r="F186" i="17" s="1"/>
  <c r="E143" i="17"/>
  <c r="E149" i="17" s="1"/>
  <c r="J133" i="17"/>
  <c r="K133" i="17" s="1"/>
  <c r="K117" i="17" s="1"/>
  <c r="I133" i="17"/>
  <c r="H133" i="17"/>
  <c r="J132" i="17"/>
  <c r="K132" i="17" s="1"/>
  <c r="I132" i="17"/>
  <c r="H132" i="17"/>
  <c r="K128" i="17"/>
  <c r="L128" i="17" s="1"/>
  <c r="M128" i="17" s="1"/>
  <c r="N128" i="17" s="1"/>
  <c r="O128" i="17" s="1"/>
  <c r="J128" i="17"/>
  <c r="I128" i="17"/>
  <c r="H128" i="17"/>
  <c r="J126" i="17"/>
  <c r="I126" i="17"/>
  <c r="I108" i="17"/>
  <c r="I116" i="17" s="1"/>
  <c r="I118" i="17" s="1"/>
  <c r="I120" i="17" s="1"/>
  <c r="J106" i="17"/>
  <c r="J127" i="17" s="1"/>
  <c r="K127" i="17" s="1"/>
  <c r="I106" i="17"/>
  <c r="I127" i="17" s="1"/>
  <c r="H106" i="17"/>
  <c r="H127" i="17" s="1"/>
  <c r="K104" i="17"/>
  <c r="K103" i="17"/>
  <c r="K192" i="17" s="1"/>
  <c r="J103" i="17"/>
  <c r="G138" i="17" s="1"/>
  <c r="B89" i="17"/>
  <c r="B87" i="17"/>
  <c r="B85" i="17"/>
  <c r="B84" i="17"/>
  <c r="B83" i="17"/>
  <c r="B42" i="17"/>
  <c r="F37" i="17"/>
  <c r="F36" i="17"/>
  <c r="F35" i="17"/>
  <c r="J34" i="17"/>
  <c r="I34" i="17"/>
  <c r="K34" i="17" s="1"/>
  <c r="F34" i="17"/>
  <c r="K32" i="17"/>
  <c r="K191" i="17" s="1"/>
  <c r="E28" i="17"/>
  <c r="E23" i="17"/>
  <c r="L251" i="16"/>
  <c r="M251" i="16" s="1"/>
  <c r="N251" i="16" s="1"/>
  <c r="O251" i="16" s="1"/>
  <c r="B206" i="16"/>
  <c r="B205" i="16"/>
  <c r="B204" i="16"/>
  <c r="B203" i="16"/>
  <c r="B202" i="16"/>
  <c r="B201" i="16"/>
  <c r="B200" i="16"/>
  <c r="B199" i="16"/>
  <c r="G186" i="16"/>
  <c r="G187" i="16" s="1"/>
  <c r="G184" i="16"/>
  <c r="F181" i="16"/>
  <c r="G173" i="16"/>
  <c r="F173" i="16"/>
  <c r="E173" i="16"/>
  <c r="B173" i="16"/>
  <c r="G172" i="16"/>
  <c r="G182" i="16" s="1"/>
  <c r="F172" i="16"/>
  <c r="F182" i="16" s="1"/>
  <c r="E172" i="16"/>
  <c r="B172" i="16"/>
  <c r="G171" i="16"/>
  <c r="G183" i="16" s="1"/>
  <c r="F171" i="16"/>
  <c r="F184" i="16" s="1"/>
  <c r="E171" i="16"/>
  <c r="E184" i="16" s="1"/>
  <c r="B171" i="16"/>
  <c r="G163" i="16"/>
  <c r="E22" i="16" s="1"/>
  <c r="F163" i="16"/>
  <c r="E163" i="16"/>
  <c r="B162" i="16"/>
  <c r="B244" i="16" s="1"/>
  <c r="B288" i="16" s="1"/>
  <c r="B314" i="16" s="1"/>
  <c r="B161" i="16"/>
  <c r="B243" i="16" s="1"/>
  <c r="B277" i="16" s="1"/>
  <c r="B313" i="16" s="1"/>
  <c r="B160" i="16"/>
  <c r="B227" i="16" s="1"/>
  <c r="B159" i="16"/>
  <c r="B241" i="16" s="1"/>
  <c r="B253" i="16" s="1"/>
  <c r="J158" i="16"/>
  <c r="J156" i="16"/>
  <c r="G154" i="16"/>
  <c r="G166" i="16" s="1"/>
  <c r="F154" i="16"/>
  <c r="E154" i="16"/>
  <c r="E166" i="16" s="1"/>
  <c r="J153" i="16"/>
  <c r="J152" i="16"/>
  <c r="J151" i="16"/>
  <c r="J154" i="16" s="1"/>
  <c r="J148" i="16"/>
  <c r="J145" i="16"/>
  <c r="G143" i="16"/>
  <c r="G149" i="16" s="1"/>
  <c r="F143" i="16"/>
  <c r="F149" i="16" s="1"/>
  <c r="E143" i="16"/>
  <c r="E149" i="16" s="1"/>
  <c r="J142" i="16"/>
  <c r="J141" i="16"/>
  <c r="J140" i="16"/>
  <c r="J139" i="16"/>
  <c r="K133" i="16"/>
  <c r="K117" i="16" s="1"/>
  <c r="J133" i="16"/>
  <c r="I133" i="16"/>
  <c r="H133" i="16"/>
  <c r="J132" i="16"/>
  <c r="K132" i="16" s="1"/>
  <c r="K123" i="16" s="1"/>
  <c r="I132" i="16"/>
  <c r="H132" i="16"/>
  <c r="J128" i="16"/>
  <c r="K128" i="16" s="1"/>
  <c r="L128" i="16" s="1"/>
  <c r="M128" i="16" s="1"/>
  <c r="N128" i="16" s="1"/>
  <c r="O128" i="16" s="1"/>
  <c r="I128" i="16"/>
  <c r="H128" i="16"/>
  <c r="J127" i="16"/>
  <c r="K127" i="16" s="1"/>
  <c r="L127" i="16" s="1"/>
  <c r="M127" i="16" s="1"/>
  <c r="N127" i="16" s="1"/>
  <c r="O127" i="16" s="1"/>
  <c r="I127" i="16"/>
  <c r="J126" i="16"/>
  <c r="I126" i="16"/>
  <c r="J106" i="16"/>
  <c r="J108" i="16" s="1"/>
  <c r="I106" i="16"/>
  <c r="I108" i="16" s="1"/>
  <c r="I116" i="16" s="1"/>
  <c r="I118" i="16" s="1"/>
  <c r="I120" i="16" s="1"/>
  <c r="H106" i="16"/>
  <c r="H127" i="16" s="1"/>
  <c r="K104" i="16"/>
  <c r="K171" i="16" s="1"/>
  <c r="K103" i="16"/>
  <c r="K192" i="16" s="1"/>
  <c r="B89" i="16"/>
  <c r="B87" i="16"/>
  <c r="B85" i="16"/>
  <c r="B84" i="16"/>
  <c r="B83" i="16"/>
  <c r="K58" i="16"/>
  <c r="J58" i="16" s="1"/>
  <c r="I58" i="16" s="1"/>
  <c r="H58" i="16" s="1"/>
  <c r="B42" i="16"/>
  <c r="F37" i="16"/>
  <c r="F36" i="16"/>
  <c r="F35" i="16"/>
  <c r="J34" i="16"/>
  <c r="I34" i="16"/>
  <c r="K34" i="16" s="1"/>
  <c r="F34" i="16"/>
  <c r="K32" i="16"/>
  <c r="K191" i="16" s="1"/>
  <c r="E28" i="16"/>
  <c r="E23" i="16"/>
  <c r="K228" i="13"/>
  <c r="M228" i="13"/>
  <c r="N228" i="13"/>
  <c r="O228" i="13"/>
  <c r="L228" i="13"/>
  <c r="L251" i="15"/>
  <c r="M251" i="15" s="1"/>
  <c r="N251" i="15" s="1"/>
  <c r="O251" i="15" s="1"/>
  <c r="O218" i="15"/>
  <c r="N218" i="15"/>
  <c r="M218" i="15"/>
  <c r="L218" i="15"/>
  <c r="K218" i="15"/>
  <c r="B206" i="15"/>
  <c r="B205" i="15"/>
  <c r="B204" i="15"/>
  <c r="B203" i="15"/>
  <c r="B202" i="15"/>
  <c r="B201" i="15"/>
  <c r="B200" i="15"/>
  <c r="B199" i="15"/>
  <c r="G173" i="15"/>
  <c r="F173" i="15"/>
  <c r="F182" i="15" s="1"/>
  <c r="E173" i="15"/>
  <c r="B173" i="15"/>
  <c r="G172" i="15"/>
  <c r="G177" i="15" s="1"/>
  <c r="F172" i="15"/>
  <c r="F177" i="15" s="1"/>
  <c r="E172" i="15"/>
  <c r="E177" i="15" s="1"/>
  <c r="B172" i="15"/>
  <c r="G171" i="15"/>
  <c r="G178" i="15" s="1"/>
  <c r="F171" i="15"/>
  <c r="F178" i="15" s="1"/>
  <c r="E171" i="15"/>
  <c r="E178" i="15" s="1"/>
  <c r="B171" i="15"/>
  <c r="F166" i="15"/>
  <c r="G163" i="15"/>
  <c r="G166" i="15" s="1"/>
  <c r="F163" i="15"/>
  <c r="E163" i="15"/>
  <c r="E166" i="15" s="1"/>
  <c r="B162" i="15"/>
  <c r="B244" i="15" s="1"/>
  <c r="B288" i="15" s="1"/>
  <c r="B314" i="15" s="1"/>
  <c r="B161" i="15"/>
  <c r="B243" i="15" s="1"/>
  <c r="B277" i="15" s="1"/>
  <c r="B313" i="15" s="1"/>
  <c r="B160" i="15"/>
  <c r="B242" i="15" s="1"/>
  <c r="B266" i="15" s="1"/>
  <c r="B312" i="15" s="1"/>
  <c r="B159" i="15"/>
  <c r="B241" i="15" s="1"/>
  <c r="B253" i="15" s="1"/>
  <c r="J158" i="15"/>
  <c r="K158" i="15" s="1"/>
  <c r="L158" i="15" s="1"/>
  <c r="M158" i="15" s="1"/>
  <c r="N158" i="15" s="1"/>
  <c r="O158" i="15" s="1"/>
  <c r="J156" i="15"/>
  <c r="G154" i="15"/>
  <c r="F154" i="15"/>
  <c r="E154" i="15"/>
  <c r="J153" i="15"/>
  <c r="J152" i="15"/>
  <c r="J151" i="15"/>
  <c r="G149" i="15"/>
  <c r="F149" i="15"/>
  <c r="F168" i="15" s="1"/>
  <c r="J148" i="15"/>
  <c r="J145" i="15"/>
  <c r="G143" i="15"/>
  <c r="G186" i="15" s="1"/>
  <c r="G187" i="15" s="1"/>
  <c r="F143" i="15"/>
  <c r="E143" i="15"/>
  <c r="E186" i="15" s="1"/>
  <c r="E187" i="15" s="1"/>
  <c r="J142" i="15"/>
  <c r="J141" i="15"/>
  <c r="J140" i="15"/>
  <c r="J139" i="15"/>
  <c r="J133" i="15"/>
  <c r="K133" i="15" s="1"/>
  <c r="I133" i="15"/>
  <c r="H133" i="15"/>
  <c r="J132" i="15"/>
  <c r="K132" i="15" s="1"/>
  <c r="I132" i="15"/>
  <c r="H132" i="15"/>
  <c r="J128" i="15"/>
  <c r="K128" i="15" s="1"/>
  <c r="I128" i="15"/>
  <c r="H128" i="15"/>
  <c r="J126" i="15"/>
  <c r="I126" i="15"/>
  <c r="J108" i="15"/>
  <c r="J116" i="15" s="1"/>
  <c r="J118" i="15" s="1"/>
  <c r="J120" i="15" s="1"/>
  <c r="I108" i="15"/>
  <c r="I111" i="15" s="1"/>
  <c r="H108" i="15"/>
  <c r="H116" i="15" s="1"/>
  <c r="H118" i="15" s="1"/>
  <c r="H120" i="15" s="1"/>
  <c r="H129" i="15" s="1"/>
  <c r="J106" i="15"/>
  <c r="J127" i="15" s="1"/>
  <c r="K127" i="15" s="1"/>
  <c r="I106" i="15"/>
  <c r="I127" i="15" s="1"/>
  <c r="H106" i="15"/>
  <c r="H127" i="15" s="1"/>
  <c r="K104" i="15"/>
  <c r="L104" i="15" s="1"/>
  <c r="L103" i="15"/>
  <c r="L300" i="15" s="1"/>
  <c r="K103" i="15"/>
  <c r="K300" i="15" s="1"/>
  <c r="J103" i="15"/>
  <c r="G138" i="15" s="1"/>
  <c r="B89" i="15"/>
  <c r="B87" i="15"/>
  <c r="B85" i="15"/>
  <c r="B84" i="15"/>
  <c r="B83" i="15"/>
  <c r="K58" i="15"/>
  <c r="J58" i="15" s="1"/>
  <c r="I58" i="15" s="1"/>
  <c r="H58" i="15" s="1"/>
  <c r="B42" i="15"/>
  <c r="F37" i="15"/>
  <c r="F36" i="15"/>
  <c r="F35" i="15"/>
  <c r="J34" i="15"/>
  <c r="I34" i="15" s="1"/>
  <c r="K34" i="15" s="1"/>
  <c r="F34" i="15"/>
  <c r="K33" i="15"/>
  <c r="K32" i="15"/>
  <c r="K299" i="15" s="1"/>
  <c r="E28" i="15"/>
  <c r="E23" i="15"/>
  <c r="E22" i="15"/>
  <c r="K9" i="15"/>
  <c r="L251" i="14"/>
  <c r="M251" i="14" s="1"/>
  <c r="N251" i="14" s="1"/>
  <c r="O236" i="14"/>
  <c r="N236" i="14"/>
  <c r="M236" i="14"/>
  <c r="L236" i="14"/>
  <c r="K236" i="14"/>
  <c r="O235" i="14"/>
  <c r="N235" i="14"/>
  <c r="M235" i="14"/>
  <c r="L235" i="14"/>
  <c r="O228" i="14"/>
  <c r="O232" i="14" s="1"/>
  <c r="N228" i="14"/>
  <c r="N232" i="14" s="1"/>
  <c r="M228" i="14"/>
  <c r="M232" i="14" s="1"/>
  <c r="L228" i="14"/>
  <c r="L232" i="14" s="1"/>
  <c r="K228" i="14"/>
  <c r="K232" i="14" s="1"/>
  <c r="O218" i="14"/>
  <c r="N218" i="14"/>
  <c r="M218" i="14"/>
  <c r="L218" i="14"/>
  <c r="K218" i="14"/>
  <c r="B206" i="14"/>
  <c r="B205" i="14"/>
  <c r="B204" i="14"/>
  <c r="B203" i="14"/>
  <c r="B202" i="14"/>
  <c r="B201" i="14"/>
  <c r="B200" i="14"/>
  <c r="B199" i="14"/>
  <c r="F183" i="14"/>
  <c r="F181" i="14"/>
  <c r="E181" i="14"/>
  <c r="G178" i="14"/>
  <c r="F178" i="14"/>
  <c r="E178" i="14"/>
  <c r="G173" i="14"/>
  <c r="F173" i="14"/>
  <c r="E173" i="14"/>
  <c r="B173" i="14"/>
  <c r="G172" i="14"/>
  <c r="F172" i="14"/>
  <c r="F177" i="14" s="1"/>
  <c r="E172" i="14"/>
  <c r="E177" i="14" s="1"/>
  <c r="B172" i="14"/>
  <c r="G171" i="14"/>
  <c r="G176" i="14" s="1"/>
  <c r="F171" i="14"/>
  <c r="F176" i="14" s="1"/>
  <c r="E171" i="14"/>
  <c r="E176" i="14" s="1"/>
  <c r="B171" i="14"/>
  <c r="F166" i="14"/>
  <c r="G163" i="14"/>
  <c r="F163" i="14"/>
  <c r="E163" i="14"/>
  <c r="B162" i="14"/>
  <c r="B244" i="14" s="1"/>
  <c r="B288" i="14" s="1"/>
  <c r="B314" i="14" s="1"/>
  <c r="B161" i="14"/>
  <c r="B243" i="14" s="1"/>
  <c r="B277" i="14" s="1"/>
  <c r="B313" i="14" s="1"/>
  <c r="B160" i="14"/>
  <c r="B227" i="14" s="1"/>
  <c r="B159" i="14"/>
  <c r="B241" i="14" s="1"/>
  <c r="B253" i="14" s="1"/>
  <c r="J158" i="14"/>
  <c r="K158" i="14" s="1"/>
  <c r="L158" i="14" s="1"/>
  <c r="M158" i="14" s="1"/>
  <c r="N158" i="14" s="1"/>
  <c r="O158" i="14" s="1"/>
  <c r="J156" i="14"/>
  <c r="G154" i="14"/>
  <c r="G166" i="14" s="1"/>
  <c r="F154" i="14"/>
  <c r="E154" i="14"/>
  <c r="E166" i="14" s="1"/>
  <c r="J153" i="14"/>
  <c r="J152" i="14"/>
  <c r="J151" i="14"/>
  <c r="F149" i="14"/>
  <c r="F168" i="14" s="1"/>
  <c r="J148" i="14"/>
  <c r="J145" i="14"/>
  <c r="G143" i="14"/>
  <c r="G186" i="14" s="1"/>
  <c r="G187" i="14" s="1"/>
  <c r="F143" i="14"/>
  <c r="F186" i="14" s="1"/>
  <c r="F187" i="14" s="1"/>
  <c r="E143" i="14"/>
  <c r="E186" i="14" s="1"/>
  <c r="J142" i="14"/>
  <c r="J141" i="14"/>
  <c r="J140" i="14"/>
  <c r="J139" i="14"/>
  <c r="K235" i="14" s="1"/>
  <c r="J133" i="14"/>
  <c r="K133" i="14" s="1"/>
  <c r="I133" i="14"/>
  <c r="H133" i="14"/>
  <c r="J132" i="14"/>
  <c r="K132" i="14" s="1"/>
  <c r="L132" i="14" s="1"/>
  <c r="I132" i="14"/>
  <c r="H132" i="14"/>
  <c r="K128" i="14"/>
  <c r="K107" i="14" s="1"/>
  <c r="K173" i="14" s="1"/>
  <c r="J128" i="14"/>
  <c r="I128" i="14"/>
  <c r="H128" i="14"/>
  <c r="J126" i="14"/>
  <c r="I126" i="14"/>
  <c r="I108" i="14"/>
  <c r="I116" i="14" s="1"/>
  <c r="I118" i="14" s="1"/>
  <c r="I120" i="14" s="1"/>
  <c r="J106" i="14"/>
  <c r="J127" i="14" s="1"/>
  <c r="K127" i="14" s="1"/>
  <c r="I106" i="14"/>
  <c r="I127" i="14" s="1"/>
  <c r="H106" i="14"/>
  <c r="H108" i="14" s="1"/>
  <c r="K104" i="14"/>
  <c r="K171" i="14" s="1"/>
  <c r="K103" i="14"/>
  <c r="K300" i="14" s="1"/>
  <c r="B89" i="14"/>
  <c r="B87" i="14"/>
  <c r="B85" i="14"/>
  <c r="B84" i="14"/>
  <c r="B83" i="14"/>
  <c r="B42" i="14"/>
  <c r="F37" i="14"/>
  <c r="F36" i="14"/>
  <c r="F35" i="14"/>
  <c r="J34" i="14"/>
  <c r="K34" i="14" s="1"/>
  <c r="I34" i="14"/>
  <c r="F34" i="14"/>
  <c r="K33" i="14"/>
  <c r="K32" i="14"/>
  <c r="K299" i="14" s="1"/>
  <c r="E28" i="14"/>
  <c r="E23" i="14"/>
  <c r="E22" i="14"/>
  <c r="K9" i="14"/>
  <c r="K259" i="13"/>
  <c r="I258" i="13"/>
  <c r="L251" i="13"/>
  <c r="L259" i="13" s="1"/>
  <c r="O236" i="13"/>
  <c r="N236" i="13"/>
  <c r="M236" i="13"/>
  <c r="L236" i="13"/>
  <c r="K236" i="13"/>
  <c r="O235" i="13"/>
  <c r="N235" i="13"/>
  <c r="M235" i="13"/>
  <c r="L235" i="13"/>
  <c r="O218" i="13"/>
  <c r="N218" i="13"/>
  <c r="M218" i="13"/>
  <c r="L218" i="13"/>
  <c r="K218" i="13"/>
  <c r="B206" i="13"/>
  <c r="B205" i="13"/>
  <c r="B204" i="13"/>
  <c r="B203" i="13"/>
  <c r="B202" i="13"/>
  <c r="B201" i="13"/>
  <c r="B200" i="13"/>
  <c r="B199" i="13"/>
  <c r="E186" i="13"/>
  <c r="E187" i="13" s="1"/>
  <c r="G184" i="13"/>
  <c r="G178" i="13"/>
  <c r="F178" i="13"/>
  <c r="G173" i="13"/>
  <c r="F173" i="13"/>
  <c r="E173" i="13"/>
  <c r="B173" i="13"/>
  <c r="G172" i="13"/>
  <c r="G182" i="13" s="1"/>
  <c r="F172" i="13"/>
  <c r="F182" i="13" s="1"/>
  <c r="E172" i="13"/>
  <c r="E182" i="13" s="1"/>
  <c r="B172" i="13"/>
  <c r="G171" i="13"/>
  <c r="G183" i="13" s="1"/>
  <c r="F171" i="13"/>
  <c r="F184" i="13" s="1"/>
  <c r="E171" i="13"/>
  <c r="E184" i="13" s="1"/>
  <c r="B171" i="13"/>
  <c r="G163" i="13"/>
  <c r="E22" i="13" s="1"/>
  <c r="F163" i="13"/>
  <c r="E163" i="13"/>
  <c r="B162" i="13"/>
  <c r="B244" i="13" s="1"/>
  <c r="B288" i="13" s="1"/>
  <c r="B314" i="13" s="1"/>
  <c r="B161" i="13"/>
  <c r="B243" i="13" s="1"/>
  <c r="B277" i="13" s="1"/>
  <c r="B313" i="13" s="1"/>
  <c r="B160" i="13"/>
  <c r="B227" i="13" s="1"/>
  <c r="B159" i="13"/>
  <c r="B241" i="13" s="1"/>
  <c r="B253" i="13" s="1"/>
  <c r="J158" i="13"/>
  <c r="K158" i="13" s="1"/>
  <c r="L158" i="13" s="1"/>
  <c r="M158" i="13" s="1"/>
  <c r="N158" i="13" s="1"/>
  <c r="O158" i="13" s="1"/>
  <c r="J156" i="13"/>
  <c r="G154" i="13"/>
  <c r="F154" i="13"/>
  <c r="F166" i="13" s="1"/>
  <c r="E154" i="13"/>
  <c r="J153" i="13"/>
  <c r="J152" i="13"/>
  <c r="J154" i="13" s="1"/>
  <c r="J151" i="13"/>
  <c r="E149" i="13"/>
  <c r="J148" i="13"/>
  <c r="J145" i="13"/>
  <c r="G143" i="13"/>
  <c r="G149" i="13" s="1"/>
  <c r="F143" i="13"/>
  <c r="F149" i="13" s="1"/>
  <c r="E143" i="13"/>
  <c r="J142" i="13"/>
  <c r="J141" i="13"/>
  <c r="J140" i="13"/>
  <c r="J139" i="13"/>
  <c r="J133" i="13"/>
  <c r="K133" i="13" s="1"/>
  <c r="I133" i="13"/>
  <c r="H133" i="13"/>
  <c r="J132" i="13"/>
  <c r="K132" i="13" s="1"/>
  <c r="I132" i="13"/>
  <c r="H132" i="13"/>
  <c r="J128" i="13"/>
  <c r="K128" i="13" s="1"/>
  <c r="L128" i="13" s="1"/>
  <c r="M128" i="13" s="1"/>
  <c r="N128" i="13" s="1"/>
  <c r="O128" i="13" s="1"/>
  <c r="I128" i="13"/>
  <c r="H128" i="13"/>
  <c r="J126" i="13"/>
  <c r="I126" i="13"/>
  <c r="I108" i="13"/>
  <c r="I116" i="13" s="1"/>
  <c r="I118" i="13" s="1"/>
  <c r="I120" i="13" s="1"/>
  <c r="J106" i="13"/>
  <c r="J127" i="13" s="1"/>
  <c r="K127" i="13" s="1"/>
  <c r="I106" i="13"/>
  <c r="I127" i="13" s="1"/>
  <c r="H106" i="13"/>
  <c r="H108" i="13" s="1"/>
  <c r="K104" i="13"/>
  <c r="K171" i="13" s="1"/>
  <c r="L103" i="13"/>
  <c r="L300" i="13" s="1"/>
  <c r="K103" i="13"/>
  <c r="K300" i="13" s="1"/>
  <c r="B89" i="13"/>
  <c r="B87" i="13"/>
  <c r="B85" i="13"/>
  <c r="B84" i="13"/>
  <c r="B83" i="13"/>
  <c r="L58" i="13"/>
  <c r="K58" i="13"/>
  <c r="J58" i="13" s="1"/>
  <c r="I58" i="13" s="1"/>
  <c r="H58" i="13" s="1"/>
  <c r="B42" i="13"/>
  <c r="F37" i="13"/>
  <c r="F36" i="13"/>
  <c r="F35" i="13"/>
  <c r="J34" i="13"/>
  <c r="I34" i="13"/>
  <c r="F34" i="13"/>
  <c r="L33" i="13"/>
  <c r="K33" i="13"/>
  <c r="K32" i="13"/>
  <c r="K299" i="13" s="1"/>
  <c r="E28" i="13"/>
  <c r="E23" i="13"/>
  <c r="K273" i="12"/>
  <c r="K259" i="12"/>
  <c r="I258" i="12"/>
  <c r="L251" i="12"/>
  <c r="M251" i="12" s="1"/>
  <c r="O236" i="12"/>
  <c r="N236" i="12"/>
  <c r="M236" i="12"/>
  <c r="L236" i="12"/>
  <c r="K236" i="12"/>
  <c r="O235" i="12"/>
  <c r="N235" i="12"/>
  <c r="M235" i="12"/>
  <c r="L235" i="12"/>
  <c r="O218" i="12"/>
  <c r="N218" i="12"/>
  <c r="M218" i="12"/>
  <c r="L218" i="12"/>
  <c r="K218" i="12"/>
  <c r="B206" i="12"/>
  <c r="B205" i="12"/>
  <c r="B204" i="12"/>
  <c r="B203" i="12"/>
  <c r="B202" i="12"/>
  <c r="B201" i="12"/>
  <c r="B200" i="12"/>
  <c r="B199" i="12"/>
  <c r="G186" i="12"/>
  <c r="G187" i="12" s="1"/>
  <c r="E176" i="12"/>
  <c r="G173" i="12"/>
  <c r="F173" i="12"/>
  <c r="E173" i="12"/>
  <c r="B173" i="12"/>
  <c r="G172" i="12"/>
  <c r="F172" i="12"/>
  <c r="F182" i="12" s="1"/>
  <c r="E172" i="12"/>
  <c r="E182" i="12" s="1"/>
  <c r="B172" i="12"/>
  <c r="G171" i="12"/>
  <c r="G183" i="12" s="1"/>
  <c r="F171" i="12"/>
  <c r="F184" i="12" s="1"/>
  <c r="E171" i="12"/>
  <c r="E184" i="12" s="1"/>
  <c r="B171" i="12"/>
  <c r="G163" i="12"/>
  <c r="E22" i="12" s="1"/>
  <c r="F163" i="12"/>
  <c r="E163" i="12"/>
  <c r="B162" i="12"/>
  <c r="B244" i="12" s="1"/>
  <c r="B288" i="12" s="1"/>
  <c r="B314" i="12" s="1"/>
  <c r="B161" i="12"/>
  <c r="B243" i="12" s="1"/>
  <c r="B277" i="12" s="1"/>
  <c r="B313" i="12" s="1"/>
  <c r="B160" i="12"/>
  <c r="B242" i="12" s="1"/>
  <c r="B266" i="12" s="1"/>
  <c r="B312" i="12" s="1"/>
  <c r="B159" i="12"/>
  <c r="B241" i="12" s="1"/>
  <c r="B253" i="12" s="1"/>
  <c r="J158" i="12"/>
  <c r="K158" i="12" s="1"/>
  <c r="L158" i="12" s="1"/>
  <c r="M158" i="12" s="1"/>
  <c r="N158" i="12" s="1"/>
  <c r="O158" i="12" s="1"/>
  <c r="J156" i="12"/>
  <c r="G154" i="12"/>
  <c r="F154" i="12"/>
  <c r="E154" i="12"/>
  <c r="J153" i="12"/>
  <c r="J152" i="12"/>
  <c r="J151" i="12"/>
  <c r="J148" i="12"/>
  <c r="J145" i="12"/>
  <c r="G143" i="12"/>
  <c r="G149" i="12" s="1"/>
  <c r="F143" i="12"/>
  <c r="F186" i="12" s="1"/>
  <c r="F187" i="12" s="1"/>
  <c r="E143" i="12"/>
  <c r="E186" i="12" s="1"/>
  <c r="E187" i="12" s="1"/>
  <c r="J142" i="12"/>
  <c r="J141" i="12"/>
  <c r="J140" i="12"/>
  <c r="J139" i="12"/>
  <c r="J133" i="12"/>
  <c r="K133" i="12" s="1"/>
  <c r="I133" i="12"/>
  <c r="H133" i="12"/>
  <c r="J132" i="12"/>
  <c r="K132" i="12" s="1"/>
  <c r="I132" i="12"/>
  <c r="H132" i="12"/>
  <c r="J128" i="12"/>
  <c r="K128" i="12" s="1"/>
  <c r="L128" i="12" s="1"/>
  <c r="M128" i="12" s="1"/>
  <c r="N128" i="12" s="1"/>
  <c r="O128" i="12" s="1"/>
  <c r="I128" i="12"/>
  <c r="H128" i="12"/>
  <c r="J126" i="12"/>
  <c r="I126" i="12"/>
  <c r="J106" i="12"/>
  <c r="J108" i="12" s="1"/>
  <c r="I106" i="12"/>
  <c r="I108" i="12" s="1"/>
  <c r="H106" i="12"/>
  <c r="H108" i="12" s="1"/>
  <c r="K104" i="12"/>
  <c r="K171" i="12" s="1"/>
  <c r="K103" i="12"/>
  <c r="K300" i="12" s="1"/>
  <c r="J103" i="12"/>
  <c r="I103" i="12" s="1"/>
  <c r="B89" i="12"/>
  <c r="B87" i="12"/>
  <c r="B85" i="12"/>
  <c r="B84" i="12"/>
  <c r="B83" i="12"/>
  <c r="B42" i="12"/>
  <c r="F37" i="12"/>
  <c r="F36" i="12"/>
  <c r="F35" i="12"/>
  <c r="J34" i="12"/>
  <c r="I34" i="12" s="1"/>
  <c r="K34" i="12" s="1"/>
  <c r="F34" i="12"/>
  <c r="K32" i="12"/>
  <c r="E137" i="12" s="1"/>
  <c r="E28" i="12"/>
  <c r="E23" i="12"/>
  <c r="K284" i="11"/>
  <c r="K273" i="11"/>
  <c r="L259" i="11"/>
  <c r="K259" i="11"/>
  <c r="I258" i="11"/>
  <c r="L251" i="11"/>
  <c r="M251" i="11" s="1"/>
  <c r="O236" i="11"/>
  <c r="N236" i="11"/>
  <c r="M236" i="11"/>
  <c r="L236" i="11"/>
  <c r="K236" i="11"/>
  <c r="O235" i="11"/>
  <c r="N235" i="11"/>
  <c r="M235" i="11"/>
  <c r="L235" i="11"/>
  <c r="O218" i="11"/>
  <c r="N218" i="11"/>
  <c r="M218" i="11"/>
  <c r="L218" i="11"/>
  <c r="K218" i="11"/>
  <c r="B206" i="11"/>
  <c r="B205" i="11"/>
  <c r="B204" i="11"/>
  <c r="B203" i="11"/>
  <c r="B202" i="11"/>
  <c r="B201" i="11"/>
  <c r="B200" i="11"/>
  <c r="B199" i="11"/>
  <c r="G181" i="11"/>
  <c r="F181" i="11"/>
  <c r="G173" i="11"/>
  <c r="G182" i="11" s="1"/>
  <c r="F173" i="11"/>
  <c r="F182" i="11" s="1"/>
  <c r="E173" i="11"/>
  <c r="E182" i="11" s="1"/>
  <c r="B173" i="11"/>
  <c r="G172" i="11"/>
  <c r="G177" i="11" s="1"/>
  <c r="F172" i="11"/>
  <c r="F177" i="11" s="1"/>
  <c r="E172" i="11"/>
  <c r="E181" i="11" s="1"/>
  <c r="B172" i="11"/>
  <c r="G171" i="11"/>
  <c r="G178" i="11" s="1"/>
  <c r="F171" i="11"/>
  <c r="F178" i="11" s="1"/>
  <c r="E171" i="11"/>
  <c r="E178" i="11" s="1"/>
  <c r="B171" i="11"/>
  <c r="F166" i="11"/>
  <c r="G163" i="11"/>
  <c r="G166" i="11" s="1"/>
  <c r="F163" i="11"/>
  <c r="E163" i="11"/>
  <c r="B162" i="11"/>
  <c r="B244" i="11" s="1"/>
  <c r="B288" i="11" s="1"/>
  <c r="B314" i="11" s="1"/>
  <c r="B161" i="11"/>
  <c r="B243" i="11" s="1"/>
  <c r="B277" i="11" s="1"/>
  <c r="B313" i="11" s="1"/>
  <c r="B160" i="11"/>
  <c r="B227" i="11" s="1"/>
  <c r="B159" i="11"/>
  <c r="B241" i="11" s="1"/>
  <c r="B253" i="11" s="1"/>
  <c r="J158" i="11"/>
  <c r="K158" i="11" s="1"/>
  <c r="L158" i="11" s="1"/>
  <c r="M158" i="11" s="1"/>
  <c r="N158" i="11" s="1"/>
  <c r="O158" i="11" s="1"/>
  <c r="J156" i="11"/>
  <c r="G154" i="11"/>
  <c r="F154" i="11"/>
  <c r="E154" i="11"/>
  <c r="E166" i="11" s="1"/>
  <c r="J153" i="11"/>
  <c r="J152" i="11"/>
  <c r="J151" i="11"/>
  <c r="J148" i="11"/>
  <c r="J145" i="11"/>
  <c r="G143" i="11"/>
  <c r="G186" i="11" s="1"/>
  <c r="G187" i="11" s="1"/>
  <c r="F143" i="11"/>
  <c r="F186" i="11" s="1"/>
  <c r="F187" i="11" s="1"/>
  <c r="E143" i="11"/>
  <c r="J142" i="11"/>
  <c r="J141" i="11"/>
  <c r="J140" i="11"/>
  <c r="J139" i="11"/>
  <c r="J143" i="11" s="1"/>
  <c r="K133" i="11"/>
  <c r="K117" i="11" s="1"/>
  <c r="K194" i="11" s="1"/>
  <c r="J133" i="11"/>
  <c r="I133" i="11"/>
  <c r="H133" i="11"/>
  <c r="J132" i="11"/>
  <c r="K132" i="11" s="1"/>
  <c r="I132" i="11"/>
  <c r="H132" i="11"/>
  <c r="J128" i="11"/>
  <c r="K128" i="11" s="1"/>
  <c r="K107" i="11" s="1"/>
  <c r="K173" i="11" s="1"/>
  <c r="I128" i="11"/>
  <c r="H128" i="11"/>
  <c r="J126" i="11"/>
  <c r="I126" i="11"/>
  <c r="J106" i="11"/>
  <c r="J127" i="11" s="1"/>
  <c r="K127" i="11" s="1"/>
  <c r="I106" i="11"/>
  <c r="I127" i="11" s="1"/>
  <c r="H106" i="11"/>
  <c r="H108" i="11" s="1"/>
  <c r="K104" i="11"/>
  <c r="L104" i="11" s="1"/>
  <c r="L103" i="11"/>
  <c r="L300" i="11" s="1"/>
  <c r="K103" i="11"/>
  <c r="K300" i="11" s="1"/>
  <c r="B89" i="11"/>
  <c r="B87" i="11"/>
  <c r="B85" i="11"/>
  <c r="B84" i="11"/>
  <c r="B83" i="11"/>
  <c r="K58" i="11"/>
  <c r="J58" i="11"/>
  <c r="I58" i="11" s="1"/>
  <c r="H58" i="11" s="1"/>
  <c r="B42" i="11"/>
  <c r="F37" i="11"/>
  <c r="F36" i="11"/>
  <c r="F35" i="11"/>
  <c r="J34" i="11"/>
  <c r="I34" i="11"/>
  <c r="K34" i="11" s="1"/>
  <c r="F34" i="11"/>
  <c r="K33" i="11"/>
  <c r="K32" i="11"/>
  <c r="K299" i="11" s="1"/>
  <c r="E28" i="11"/>
  <c r="E23" i="11"/>
  <c r="K9" i="11"/>
  <c r="K284" i="10"/>
  <c r="K273" i="10"/>
  <c r="K259" i="10"/>
  <c r="I258" i="10"/>
  <c r="L251" i="10"/>
  <c r="M251" i="10" s="1"/>
  <c r="O236" i="10"/>
  <c r="N236" i="10"/>
  <c r="M236" i="10"/>
  <c r="L236" i="10"/>
  <c r="K236" i="10"/>
  <c r="B206" i="10"/>
  <c r="B205" i="10"/>
  <c r="B204" i="10"/>
  <c r="B203" i="10"/>
  <c r="B202" i="10"/>
  <c r="B201" i="10"/>
  <c r="B200" i="10"/>
  <c r="B199" i="10"/>
  <c r="E176" i="10"/>
  <c r="G173" i="10"/>
  <c r="F173" i="10"/>
  <c r="E173" i="10"/>
  <c r="B173" i="10"/>
  <c r="G172" i="10"/>
  <c r="G182" i="10" s="1"/>
  <c r="F172" i="10"/>
  <c r="F182" i="10" s="1"/>
  <c r="E172" i="10"/>
  <c r="B172" i="10"/>
  <c r="G171" i="10"/>
  <c r="G183" i="10" s="1"/>
  <c r="F171" i="10"/>
  <c r="F184" i="10" s="1"/>
  <c r="E171" i="10"/>
  <c r="E184" i="10" s="1"/>
  <c r="B171" i="10"/>
  <c r="G163" i="10"/>
  <c r="E22" i="10" s="1"/>
  <c r="F163" i="10"/>
  <c r="E163" i="10"/>
  <c r="B162" i="10"/>
  <c r="B244" i="10" s="1"/>
  <c r="B288" i="10" s="1"/>
  <c r="B314" i="10" s="1"/>
  <c r="B161" i="10"/>
  <c r="B243" i="10" s="1"/>
  <c r="B277" i="10" s="1"/>
  <c r="B313" i="10" s="1"/>
  <c r="B160" i="10"/>
  <c r="B227" i="10" s="1"/>
  <c r="B159" i="10"/>
  <c r="B241" i="10" s="1"/>
  <c r="B253" i="10" s="1"/>
  <c r="J158" i="10"/>
  <c r="K158" i="10" s="1"/>
  <c r="L158" i="10" s="1"/>
  <c r="M158" i="10" s="1"/>
  <c r="N158" i="10" s="1"/>
  <c r="O158" i="10" s="1"/>
  <c r="J156" i="10"/>
  <c r="G154" i="10"/>
  <c r="G166" i="10" s="1"/>
  <c r="F154" i="10"/>
  <c r="F166" i="10" s="1"/>
  <c r="E154" i="10"/>
  <c r="E166" i="10" s="1"/>
  <c r="J153" i="10"/>
  <c r="J152" i="10"/>
  <c r="J151" i="10"/>
  <c r="J154" i="10" s="1"/>
  <c r="G149" i="10"/>
  <c r="J148" i="10"/>
  <c r="J145" i="10"/>
  <c r="G143" i="10"/>
  <c r="G186" i="10" s="1"/>
  <c r="G187" i="10" s="1"/>
  <c r="F143" i="10"/>
  <c r="F149" i="10" s="1"/>
  <c r="E143" i="10"/>
  <c r="E149" i="10" s="1"/>
  <c r="J142" i="10"/>
  <c r="J141" i="10"/>
  <c r="J140" i="10"/>
  <c r="J143" i="10" s="1"/>
  <c r="J139" i="10"/>
  <c r="K235" i="10" s="1"/>
  <c r="J133" i="10"/>
  <c r="K133" i="10" s="1"/>
  <c r="I133" i="10"/>
  <c r="H133" i="10"/>
  <c r="J132" i="10"/>
  <c r="K132" i="10" s="1"/>
  <c r="I132" i="10"/>
  <c r="H132" i="10"/>
  <c r="J128" i="10"/>
  <c r="K128" i="10" s="1"/>
  <c r="L128" i="10" s="1"/>
  <c r="M128" i="10" s="1"/>
  <c r="N128" i="10" s="1"/>
  <c r="O128" i="10" s="1"/>
  <c r="I128" i="10"/>
  <c r="H128" i="10"/>
  <c r="J126" i="10"/>
  <c r="I126" i="10"/>
  <c r="J106" i="10"/>
  <c r="J127" i="10" s="1"/>
  <c r="K127" i="10" s="1"/>
  <c r="L127" i="10" s="1"/>
  <c r="M127" i="10" s="1"/>
  <c r="N127" i="10" s="1"/>
  <c r="O127" i="10" s="1"/>
  <c r="I106" i="10"/>
  <c r="I127" i="10" s="1"/>
  <c r="H106" i="10"/>
  <c r="H127" i="10" s="1"/>
  <c r="K104" i="10"/>
  <c r="K103" i="10"/>
  <c r="K300" i="10" s="1"/>
  <c r="B89" i="10"/>
  <c r="B87" i="10"/>
  <c r="B85" i="10"/>
  <c r="B84" i="10"/>
  <c r="B83" i="10"/>
  <c r="B42" i="10"/>
  <c r="F37" i="10"/>
  <c r="F36" i="10"/>
  <c r="F35" i="10"/>
  <c r="J34" i="10"/>
  <c r="I34" i="10" s="1"/>
  <c r="K34" i="10" s="1"/>
  <c r="F34" i="10"/>
  <c r="K32" i="10"/>
  <c r="K68" i="10" s="1"/>
  <c r="E28" i="10"/>
  <c r="E23" i="10"/>
  <c r="M106" i="23" l="1"/>
  <c r="M108" i="23" s="1"/>
  <c r="K120" i="23"/>
  <c r="K70" i="23"/>
  <c r="K207" i="23"/>
  <c r="K73" i="23" s="1"/>
  <c r="M119" i="29"/>
  <c r="M121" i="29" s="1"/>
  <c r="M206" i="29"/>
  <c r="M157" i="29"/>
  <c r="L77" i="29"/>
  <c r="N36" i="29"/>
  <c r="J41" i="29"/>
  <c r="I37" i="29"/>
  <c r="K37" i="29" s="1"/>
  <c r="M52" i="29"/>
  <c r="K123" i="29"/>
  <c r="N120" i="29"/>
  <c r="N197" i="29" s="1"/>
  <c r="O136" i="29"/>
  <c r="O120" i="29" s="1"/>
  <c r="O197" i="29" s="1"/>
  <c r="J87" i="29"/>
  <c r="K270" i="29"/>
  <c r="O62" i="29"/>
  <c r="O63" i="29" s="1"/>
  <c r="O109" i="29"/>
  <c r="O108" i="29"/>
  <c r="O175" i="29" s="1"/>
  <c r="O174" i="29"/>
  <c r="O110" i="29"/>
  <c r="O176" i="29" s="1"/>
  <c r="M84" i="29"/>
  <c r="N161" i="29"/>
  <c r="N155" i="29"/>
  <c r="N207" i="29" s="1"/>
  <c r="N144" i="29"/>
  <c r="N154" i="29"/>
  <c r="N109" i="29"/>
  <c r="N111" i="29" s="1"/>
  <c r="J90" i="29"/>
  <c r="K292" i="29"/>
  <c r="J86" i="29"/>
  <c r="J89" i="29" s="1"/>
  <c r="J91" i="29" s="1"/>
  <c r="K257" i="29"/>
  <c r="J166" i="29"/>
  <c r="O253" i="29"/>
  <c r="O228" i="29"/>
  <c r="O141" i="29"/>
  <c r="O9" i="29"/>
  <c r="O35" i="29"/>
  <c r="O61" i="29"/>
  <c r="O303" i="29"/>
  <c r="O195" i="29"/>
  <c r="N145" i="29"/>
  <c r="N159" i="29"/>
  <c r="N209" i="29" s="1"/>
  <c r="N151" i="29"/>
  <c r="N143" i="29"/>
  <c r="N156" i="29"/>
  <c r="N208" i="29" s="1"/>
  <c r="M215" i="29"/>
  <c r="M216" i="29" s="1"/>
  <c r="I39" i="29"/>
  <c r="K39" i="29" s="1"/>
  <c r="L39" i="29" s="1"/>
  <c r="M39" i="29" s="1"/>
  <c r="N39" i="29" s="1"/>
  <c r="O39" i="29" s="1"/>
  <c r="L123" i="29"/>
  <c r="K210" i="29"/>
  <c r="K76" i="29" s="1"/>
  <c r="O135" i="29"/>
  <c r="O126" i="29" s="1"/>
  <c r="N126" i="29"/>
  <c r="J88" i="29"/>
  <c r="K281" i="29"/>
  <c r="L210" i="29"/>
  <c r="L76" i="29" s="1"/>
  <c r="I38" i="29"/>
  <c r="K38" i="29" s="1"/>
  <c r="L38" i="29" s="1"/>
  <c r="M38" i="29" s="1"/>
  <c r="N38" i="29" s="1"/>
  <c r="O38" i="29" s="1"/>
  <c r="M148" i="29"/>
  <c r="N205" i="29"/>
  <c r="M203" i="29"/>
  <c r="M210" i="29" s="1"/>
  <c r="M76" i="29" s="1"/>
  <c r="N325" i="29"/>
  <c r="K254" i="28"/>
  <c r="J163" i="28"/>
  <c r="J83" i="28"/>
  <c r="N145" i="28"/>
  <c r="J85" i="28"/>
  <c r="K278" i="28"/>
  <c r="M154" i="28"/>
  <c r="M203" i="28"/>
  <c r="K120" i="28"/>
  <c r="I36" i="28"/>
  <c r="K36" i="28" s="1"/>
  <c r="L36" i="28" s="1"/>
  <c r="M36" i="28" s="1"/>
  <c r="N36" i="28" s="1"/>
  <c r="O36" i="28" s="1"/>
  <c r="N158" i="28"/>
  <c r="M81" i="28"/>
  <c r="O250" i="28"/>
  <c r="O225" i="28"/>
  <c r="O138" i="28"/>
  <c r="O9" i="28"/>
  <c r="O192" i="28"/>
  <c r="O58" i="28"/>
  <c r="O300" i="28"/>
  <c r="O33" i="28"/>
  <c r="M202" i="28"/>
  <c r="O322" i="28"/>
  <c r="N117" i="28"/>
  <c r="N194" i="28" s="1"/>
  <c r="O133" i="28"/>
  <c r="O117" i="28" s="1"/>
  <c r="O194" i="28" s="1"/>
  <c r="M116" i="28"/>
  <c r="M118" i="28" s="1"/>
  <c r="L120" i="28"/>
  <c r="O59" i="28"/>
  <c r="O60" i="28" s="1"/>
  <c r="O107" i="28"/>
  <c r="O173" i="28" s="1"/>
  <c r="O171" i="28"/>
  <c r="O105" i="28"/>
  <c r="O172" i="28" s="1"/>
  <c r="K146" i="28"/>
  <c r="L146" i="28" s="1"/>
  <c r="M146" i="28" s="1"/>
  <c r="N146" i="28" s="1"/>
  <c r="O146" i="28" s="1"/>
  <c r="J149" i="28"/>
  <c r="N152" i="28"/>
  <c r="N204" i="28" s="1"/>
  <c r="N141" i="28"/>
  <c r="N151" i="28"/>
  <c r="K35" i="28"/>
  <c r="J39" i="28"/>
  <c r="I35" i="28"/>
  <c r="M50" i="28"/>
  <c r="H147" i="28" s="1"/>
  <c r="J147" i="28" s="1"/>
  <c r="S46" i="28"/>
  <c r="S48" i="28" s="1"/>
  <c r="N116" i="28"/>
  <c r="N118" i="28" s="1"/>
  <c r="M201" i="28"/>
  <c r="J84" i="28"/>
  <c r="K267" i="28"/>
  <c r="N156" i="28"/>
  <c r="N206" i="28" s="1"/>
  <c r="N142" i="28"/>
  <c r="N148" i="28"/>
  <c r="N153" i="28"/>
  <c r="N205" i="28" s="1"/>
  <c r="N140" i="28"/>
  <c r="M200" i="28"/>
  <c r="M207" i="28" s="1"/>
  <c r="M73" i="28" s="1"/>
  <c r="N212" i="28"/>
  <c r="N213" i="28" s="1"/>
  <c r="K207" i="28"/>
  <c r="K73" i="28" s="1"/>
  <c r="O34" i="28"/>
  <c r="I37" i="28"/>
  <c r="K37" i="28" s="1"/>
  <c r="L37" i="28" s="1"/>
  <c r="M37" i="28" s="1"/>
  <c r="N37" i="28" s="1"/>
  <c r="O37" i="28" s="1"/>
  <c r="O123" i="28"/>
  <c r="L207" i="28"/>
  <c r="L73" i="28" s="1"/>
  <c r="J87" i="28"/>
  <c r="K289" i="28"/>
  <c r="M74" i="28"/>
  <c r="I168" i="26"/>
  <c r="N325" i="26"/>
  <c r="H162" i="26"/>
  <c r="J162" i="26" s="1"/>
  <c r="H163" i="26"/>
  <c r="J163" i="26" s="1"/>
  <c r="J37" i="26"/>
  <c r="J38" i="26"/>
  <c r="H164" i="26"/>
  <c r="J164" i="26" s="1"/>
  <c r="H165" i="26"/>
  <c r="J165" i="26" s="1"/>
  <c r="J39" i="26"/>
  <c r="O62" i="26"/>
  <c r="O63" i="26" s="1"/>
  <c r="O110" i="26"/>
  <c r="O176" i="26" s="1"/>
  <c r="O108" i="26"/>
  <c r="O175" i="26" s="1"/>
  <c r="O174" i="26"/>
  <c r="K132" i="26"/>
  <c r="K64" i="26"/>
  <c r="K326" i="26"/>
  <c r="K328" i="26" s="1"/>
  <c r="K133" i="26"/>
  <c r="E31" i="26"/>
  <c r="H149" i="26" s="1"/>
  <c r="J149" i="26" s="1"/>
  <c r="N155" i="26"/>
  <c r="N207" i="26" s="1"/>
  <c r="N144" i="26"/>
  <c r="N154" i="26"/>
  <c r="M215" i="26"/>
  <c r="M216" i="26" s="1"/>
  <c r="N109" i="26"/>
  <c r="N111" i="26" s="1"/>
  <c r="O135" i="26"/>
  <c r="O126" i="26" s="1"/>
  <c r="N126" i="26"/>
  <c r="N145" i="26"/>
  <c r="N159" i="26"/>
  <c r="N209" i="26" s="1"/>
  <c r="N151" i="26"/>
  <c r="N205" i="26" s="1"/>
  <c r="N143" i="26"/>
  <c r="N156" i="26"/>
  <c r="N208" i="26" s="1"/>
  <c r="K210" i="26"/>
  <c r="K76" i="26" s="1"/>
  <c r="L77" i="26"/>
  <c r="N120" i="26"/>
  <c r="N197" i="26" s="1"/>
  <c r="O136" i="26"/>
  <c r="O120" i="26" s="1"/>
  <c r="O197" i="26" s="1"/>
  <c r="N202" i="26"/>
  <c r="M84" i="26"/>
  <c r="N161" i="26"/>
  <c r="M148" i="26"/>
  <c r="O9" i="26"/>
  <c r="O35" i="26"/>
  <c r="O253" i="26"/>
  <c r="O228" i="26"/>
  <c r="O141" i="26"/>
  <c r="O61" i="26"/>
  <c r="O303" i="26"/>
  <c r="O195" i="26"/>
  <c r="N204" i="26"/>
  <c r="M202" i="26"/>
  <c r="L119" i="26"/>
  <c r="L121" i="26" s="1"/>
  <c r="N36" i="26"/>
  <c r="M157" i="26"/>
  <c r="L155" i="26"/>
  <c r="L207" i="26" s="1"/>
  <c r="L144" i="26"/>
  <c r="L154" i="26"/>
  <c r="M206" i="26" s="1"/>
  <c r="M119" i="26"/>
  <c r="M121" i="26" s="1"/>
  <c r="M145" i="24"/>
  <c r="K207" i="24"/>
  <c r="K73" i="24" s="1"/>
  <c r="N158" i="24"/>
  <c r="N81" i="24" s="1"/>
  <c r="K129" i="24"/>
  <c r="K61" i="24"/>
  <c r="K130" i="24"/>
  <c r="K323" i="24"/>
  <c r="K325" i="24" s="1"/>
  <c r="L74" i="24"/>
  <c r="H159" i="24"/>
  <c r="J159" i="24" s="1"/>
  <c r="N171" i="24"/>
  <c r="N59" i="24"/>
  <c r="N60" i="24" s="1"/>
  <c r="N105" i="24"/>
  <c r="N172" i="24" s="1"/>
  <c r="O104" i="24"/>
  <c r="N107" i="24"/>
  <c r="N173" i="24" s="1"/>
  <c r="H160" i="24"/>
  <c r="J160" i="24" s="1"/>
  <c r="J35" i="24"/>
  <c r="M152" i="24"/>
  <c r="M204" i="24" s="1"/>
  <c r="M141" i="24"/>
  <c r="M200" i="24" s="1"/>
  <c r="M151" i="24"/>
  <c r="J36" i="24"/>
  <c r="H161" i="24"/>
  <c r="J161" i="24" s="1"/>
  <c r="M106" i="24"/>
  <c r="M108" i="24" s="1"/>
  <c r="H162" i="24"/>
  <c r="J162" i="24" s="1"/>
  <c r="J37" i="24"/>
  <c r="O138" i="24"/>
  <c r="O250" i="24"/>
  <c r="O225" i="24"/>
  <c r="O58" i="24"/>
  <c r="O300" i="24"/>
  <c r="O192" i="24"/>
  <c r="O9" i="24"/>
  <c r="O33" i="24"/>
  <c r="M142" i="24"/>
  <c r="M156" i="24"/>
  <c r="M206" i="24" s="1"/>
  <c r="M148" i="24"/>
  <c r="M202" i="24" s="1"/>
  <c r="M140" i="24"/>
  <c r="M199" i="24" s="1"/>
  <c r="M153" i="24"/>
  <c r="M205" i="24" s="1"/>
  <c r="E27" i="24"/>
  <c r="E29" i="24" s="1"/>
  <c r="H146" i="24" s="1"/>
  <c r="J146" i="24" s="1"/>
  <c r="N117" i="24"/>
  <c r="N194" i="24" s="1"/>
  <c r="O133" i="24"/>
  <c r="L116" i="24"/>
  <c r="L118" i="24" s="1"/>
  <c r="M212" i="24"/>
  <c r="M213" i="24" s="1"/>
  <c r="O34" i="24"/>
  <c r="O132" i="24"/>
  <c r="N123" i="24"/>
  <c r="L201" i="24"/>
  <c r="N322" i="24"/>
  <c r="L154" i="24"/>
  <c r="L203" i="24"/>
  <c r="M116" i="23"/>
  <c r="M118" i="23" s="1"/>
  <c r="N34" i="23"/>
  <c r="M142" i="23"/>
  <c r="M201" i="23" s="1"/>
  <c r="M156" i="23"/>
  <c r="M206" i="23" s="1"/>
  <c r="M148" i="23"/>
  <c r="M140" i="23"/>
  <c r="M153" i="23"/>
  <c r="M205" i="23" s="1"/>
  <c r="L154" i="23"/>
  <c r="L203" i="23"/>
  <c r="H159" i="23"/>
  <c r="J159" i="23" s="1"/>
  <c r="L199" i="23"/>
  <c r="H160" i="23"/>
  <c r="J160" i="23" s="1"/>
  <c r="J35" i="23"/>
  <c r="N322" i="23"/>
  <c r="J36" i="23"/>
  <c r="H161" i="23"/>
  <c r="J161" i="23" s="1"/>
  <c r="H162" i="23"/>
  <c r="J162" i="23" s="1"/>
  <c r="J37" i="23"/>
  <c r="L202" i="23"/>
  <c r="L201" i="23"/>
  <c r="L74" i="23"/>
  <c r="N117" i="23"/>
  <c r="N194" i="23" s="1"/>
  <c r="O133" i="23"/>
  <c r="M212" i="23"/>
  <c r="M213" i="23" s="1"/>
  <c r="L200" i="23"/>
  <c r="O132" i="23"/>
  <c r="N123" i="23"/>
  <c r="N65" i="23" s="1"/>
  <c r="N66" i="23" s="1"/>
  <c r="M48" i="23"/>
  <c r="E27" i="23"/>
  <c r="E29" i="23" s="1"/>
  <c r="H146" i="23" s="1"/>
  <c r="J146" i="23" s="1"/>
  <c r="N81" i="23"/>
  <c r="O158" i="23"/>
  <c r="O138" i="23"/>
  <c r="O250" i="23"/>
  <c r="O225" i="23"/>
  <c r="O58" i="23"/>
  <c r="O33" i="23"/>
  <c r="O300" i="23"/>
  <c r="O9" i="23"/>
  <c r="O192" i="23"/>
  <c r="L116" i="23"/>
  <c r="L118" i="23" s="1"/>
  <c r="M145" i="23"/>
  <c r="N171" i="23"/>
  <c r="N59" i="23"/>
  <c r="N60" i="23" s="1"/>
  <c r="N105" i="23"/>
  <c r="N172" i="23" s="1"/>
  <c r="O104" i="23"/>
  <c r="N107" i="23"/>
  <c r="N173" i="23" s="1"/>
  <c r="K129" i="23"/>
  <c r="K61" i="23"/>
  <c r="K130" i="23"/>
  <c r="K323" i="23"/>
  <c r="K325" i="23" s="1"/>
  <c r="M152" i="23"/>
  <c r="M204" i="23" s="1"/>
  <c r="M141" i="23"/>
  <c r="M200" i="23" s="1"/>
  <c r="M151" i="23"/>
  <c r="N117" i="22"/>
  <c r="N194" i="22" s="1"/>
  <c r="O133" i="22"/>
  <c r="O117" i="22" s="1"/>
  <c r="O194" i="22" s="1"/>
  <c r="M145" i="22"/>
  <c r="N145" i="22" s="1"/>
  <c r="O145" i="22" s="1"/>
  <c r="O212" i="22"/>
  <c r="O213" i="22" s="1"/>
  <c r="M116" i="22"/>
  <c r="M118" i="22" s="1"/>
  <c r="M120" i="22" s="1"/>
  <c r="M199" i="22"/>
  <c r="K207" i="22"/>
  <c r="M154" i="22"/>
  <c r="M203" i="22"/>
  <c r="K129" i="22"/>
  <c r="K130" i="22"/>
  <c r="K323" i="22"/>
  <c r="K325" i="22" s="1"/>
  <c r="N212" i="22"/>
  <c r="N213" i="22" s="1"/>
  <c r="L129" i="22"/>
  <c r="L130" i="22"/>
  <c r="L323" i="22"/>
  <c r="L325" i="22" s="1"/>
  <c r="E27" i="22"/>
  <c r="E29" i="22" s="1"/>
  <c r="H146" i="22" s="1"/>
  <c r="J146" i="22" s="1"/>
  <c r="M48" i="22"/>
  <c r="O105" i="22"/>
  <c r="O172" i="22" s="1"/>
  <c r="O107" i="22"/>
  <c r="O173" i="22" s="1"/>
  <c r="O171" i="22"/>
  <c r="N108" i="22"/>
  <c r="N141" i="22"/>
  <c r="N151" i="22"/>
  <c r="N152" i="22"/>
  <c r="N204" i="22" s="1"/>
  <c r="N322" i="22"/>
  <c r="N156" i="22"/>
  <c r="N206" i="22" s="1"/>
  <c r="N148" i="22"/>
  <c r="N140" i="22"/>
  <c r="N153" i="22"/>
  <c r="N205" i="22" s="1"/>
  <c r="N142" i="22"/>
  <c r="M202" i="22"/>
  <c r="J36" i="22"/>
  <c r="H161" i="22"/>
  <c r="J161" i="22" s="1"/>
  <c r="H159" i="22"/>
  <c r="J159" i="22" s="1"/>
  <c r="H160" i="22"/>
  <c r="J160" i="22" s="1"/>
  <c r="J35" i="22"/>
  <c r="H162" i="22"/>
  <c r="J162" i="22" s="1"/>
  <c r="J37" i="22"/>
  <c r="O250" i="22"/>
  <c r="O138" i="22"/>
  <c r="O225" i="22"/>
  <c r="O9" i="22"/>
  <c r="O58" i="22"/>
  <c r="O33" i="22"/>
  <c r="O300" i="22"/>
  <c r="O69" i="22"/>
  <c r="O192" i="22"/>
  <c r="O34" i="22"/>
  <c r="K9" i="10"/>
  <c r="K58" i="10"/>
  <c r="J58" i="10" s="1"/>
  <c r="I58" i="10" s="1"/>
  <c r="H58" i="10" s="1"/>
  <c r="F176" i="10"/>
  <c r="K138" i="10"/>
  <c r="K322" i="10" s="1"/>
  <c r="G176" i="10"/>
  <c r="F178" i="10"/>
  <c r="L259" i="10"/>
  <c r="G178" i="10"/>
  <c r="K69" i="10"/>
  <c r="I108" i="10"/>
  <c r="G184" i="10"/>
  <c r="L273" i="10"/>
  <c r="L103" i="10"/>
  <c r="J108" i="10"/>
  <c r="L284" i="10"/>
  <c r="K33" i="10"/>
  <c r="E182" i="10"/>
  <c r="J103" i="10"/>
  <c r="L33" i="11"/>
  <c r="I108" i="11"/>
  <c r="I116" i="11" s="1"/>
  <c r="I118" i="11" s="1"/>
  <c r="I120" i="11" s="1"/>
  <c r="E183" i="11"/>
  <c r="L133" i="11"/>
  <c r="M133" i="11" s="1"/>
  <c r="N133" i="11" s="1"/>
  <c r="J108" i="11"/>
  <c r="J111" i="11" s="1"/>
  <c r="E186" i="11"/>
  <c r="E187" i="11" s="1"/>
  <c r="G149" i="11"/>
  <c r="J154" i="11"/>
  <c r="L273" i="11"/>
  <c r="L58" i="11"/>
  <c r="F149" i="11"/>
  <c r="F168" i="11" s="1"/>
  <c r="L9" i="11"/>
  <c r="L284" i="11"/>
  <c r="J103" i="11"/>
  <c r="I103" i="11" s="1"/>
  <c r="E22" i="11"/>
  <c r="F166" i="12"/>
  <c r="G166" i="12"/>
  <c r="G168" i="12" s="1"/>
  <c r="J143" i="12"/>
  <c r="L103" i="12"/>
  <c r="L33" i="12" s="1"/>
  <c r="K9" i="12"/>
  <c r="K33" i="12"/>
  <c r="E149" i="12"/>
  <c r="F149" i="12"/>
  <c r="G182" i="12"/>
  <c r="K58" i="12"/>
  <c r="J58" i="12" s="1"/>
  <c r="I58" i="12" s="1"/>
  <c r="H58" i="12" s="1"/>
  <c r="E166" i="12"/>
  <c r="J154" i="12"/>
  <c r="L259" i="12"/>
  <c r="L273" i="12"/>
  <c r="L9" i="12"/>
  <c r="G176" i="12"/>
  <c r="E178" i="12"/>
  <c r="F176" i="12"/>
  <c r="F178" i="12"/>
  <c r="G178" i="12"/>
  <c r="E183" i="12"/>
  <c r="G184" i="12"/>
  <c r="J108" i="13"/>
  <c r="F186" i="13"/>
  <c r="F187" i="13" s="1"/>
  <c r="G186" i="13"/>
  <c r="G187" i="13" s="1"/>
  <c r="E166" i="13"/>
  <c r="E168" i="13" s="1"/>
  <c r="G166" i="13"/>
  <c r="G168" i="13" s="1"/>
  <c r="K9" i="13"/>
  <c r="L9" i="13"/>
  <c r="E176" i="13"/>
  <c r="J103" i="13"/>
  <c r="I103" i="13" s="1"/>
  <c r="F176" i="13"/>
  <c r="J143" i="13"/>
  <c r="G176" i="13"/>
  <c r="E178" i="13"/>
  <c r="F183" i="13"/>
  <c r="L133" i="14"/>
  <c r="K117" i="14"/>
  <c r="K194" i="14" s="1"/>
  <c r="E187" i="14"/>
  <c r="E149" i="14"/>
  <c r="E168" i="14" s="1"/>
  <c r="K58" i="14"/>
  <c r="J58" i="14" s="1"/>
  <c r="I58" i="14" s="1"/>
  <c r="H58" i="14" s="1"/>
  <c r="G149" i="14"/>
  <c r="J154" i="14"/>
  <c r="G182" i="14"/>
  <c r="G168" i="14"/>
  <c r="E182" i="14"/>
  <c r="L104" i="14"/>
  <c r="M104" i="14" s="1"/>
  <c r="F182" i="14"/>
  <c r="G177" i="14"/>
  <c r="K117" i="15"/>
  <c r="K194" i="15" s="1"/>
  <c r="L133" i="15"/>
  <c r="L117" i="15" s="1"/>
  <c r="L194" i="15" s="1"/>
  <c r="L9" i="15"/>
  <c r="J154" i="15"/>
  <c r="I103" i="15"/>
  <c r="H103" i="15" s="1"/>
  <c r="E138" i="15" s="1"/>
  <c r="E182" i="15"/>
  <c r="K138" i="15"/>
  <c r="K322" i="15" s="1"/>
  <c r="G182" i="15"/>
  <c r="J143" i="15"/>
  <c r="E181" i="15"/>
  <c r="F181" i="15"/>
  <c r="G181" i="15"/>
  <c r="L33" i="15"/>
  <c r="F186" i="15"/>
  <c r="F187" i="15" s="1"/>
  <c r="L58" i="15"/>
  <c r="E149" i="15"/>
  <c r="E168" i="15" s="1"/>
  <c r="E182" i="16"/>
  <c r="F166" i="16"/>
  <c r="F168" i="16" s="1"/>
  <c r="L158" i="16"/>
  <c r="M158" i="16" s="1"/>
  <c r="N158" i="16" s="1"/>
  <c r="O158" i="16" s="1"/>
  <c r="E176" i="16"/>
  <c r="F176" i="16"/>
  <c r="G176" i="16"/>
  <c r="J143" i="16"/>
  <c r="E178" i="16"/>
  <c r="H108" i="16"/>
  <c r="H116" i="16" s="1"/>
  <c r="H118" i="16" s="1"/>
  <c r="H120" i="16" s="1"/>
  <c r="H129" i="16" s="1"/>
  <c r="F178" i="16"/>
  <c r="G178" i="16"/>
  <c r="F183" i="16"/>
  <c r="G168" i="16"/>
  <c r="J143" i="17"/>
  <c r="K138" i="17"/>
  <c r="K322" i="17" s="1"/>
  <c r="L322" i="17" s="1"/>
  <c r="M322" i="17" s="1"/>
  <c r="N322" i="17" s="1"/>
  <c r="O322" i="17" s="1"/>
  <c r="H108" i="17"/>
  <c r="H116" i="17" s="1"/>
  <c r="H118" i="17" s="1"/>
  <c r="H120" i="17" s="1"/>
  <c r="H129" i="17" s="1"/>
  <c r="E182" i="17"/>
  <c r="K33" i="17"/>
  <c r="F187" i="17"/>
  <c r="F182" i="17"/>
  <c r="J108" i="17"/>
  <c r="F149" i="17"/>
  <c r="K58" i="17"/>
  <c r="J58" i="17" s="1"/>
  <c r="I58" i="17" s="1"/>
  <c r="H58" i="17" s="1"/>
  <c r="G166" i="17"/>
  <c r="F176" i="17"/>
  <c r="G176" i="17"/>
  <c r="E178" i="17"/>
  <c r="F178" i="17"/>
  <c r="K9" i="17"/>
  <c r="G178" i="17"/>
  <c r="I103" i="17"/>
  <c r="F138" i="17" s="1"/>
  <c r="F184" i="17"/>
  <c r="I108" i="18"/>
  <c r="I116" i="18" s="1"/>
  <c r="I118" i="18" s="1"/>
  <c r="I120" i="18" s="1"/>
  <c r="F149" i="18"/>
  <c r="J116" i="18"/>
  <c r="J118" i="18" s="1"/>
  <c r="J120" i="18" s="1"/>
  <c r="E186" i="18"/>
  <c r="E187" i="18" s="1"/>
  <c r="G166" i="18"/>
  <c r="L103" i="18"/>
  <c r="E22" i="18"/>
  <c r="K137" i="19"/>
  <c r="K9" i="19"/>
  <c r="K138" i="19"/>
  <c r="K322" i="19" s="1"/>
  <c r="F186" i="19"/>
  <c r="F187" i="19" s="1"/>
  <c r="H108" i="19"/>
  <c r="H116" i="19" s="1"/>
  <c r="H118" i="19" s="1"/>
  <c r="H120" i="19" s="1"/>
  <c r="H129" i="19" s="1"/>
  <c r="G186" i="19"/>
  <c r="G187" i="19" s="1"/>
  <c r="K33" i="19"/>
  <c r="I108" i="19"/>
  <c r="I116" i="19" s="1"/>
  <c r="I118" i="19" s="1"/>
  <c r="I120" i="19" s="1"/>
  <c r="I130" i="19" s="1"/>
  <c r="K58" i="19"/>
  <c r="J58" i="19" s="1"/>
  <c r="I58" i="19" s="1"/>
  <c r="H58" i="19" s="1"/>
  <c r="K69" i="19"/>
  <c r="J103" i="20"/>
  <c r="I103" i="20" s="1"/>
  <c r="B242" i="20"/>
  <c r="B266" i="20" s="1"/>
  <c r="B312" i="20" s="1"/>
  <c r="K163" i="20"/>
  <c r="I108" i="20"/>
  <c r="I116" i="20" s="1"/>
  <c r="I118" i="20" s="1"/>
  <c r="I120" i="20" s="1"/>
  <c r="K137" i="20"/>
  <c r="G186" i="20"/>
  <c r="G187" i="20" s="1"/>
  <c r="E166" i="20"/>
  <c r="F186" i="21"/>
  <c r="F187" i="21" s="1"/>
  <c r="E166" i="21"/>
  <c r="F166" i="21"/>
  <c r="G166" i="21"/>
  <c r="G186" i="21"/>
  <c r="G187" i="21" s="1"/>
  <c r="K137" i="21"/>
  <c r="J103" i="21"/>
  <c r="I103" i="21" s="1"/>
  <c r="K163" i="21"/>
  <c r="B242" i="21"/>
  <c r="B266" i="21" s="1"/>
  <c r="B312" i="21" s="1"/>
  <c r="L163" i="21"/>
  <c r="M158" i="21"/>
  <c r="B311" i="21"/>
  <c r="B310" i="21"/>
  <c r="H103" i="21"/>
  <c r="E138" i="21" s="1"/>
  <c r="F138" i="21"/>
  <c r="L103" i="21"/>
  <c r="G138" i="21"/>
  <c r="K249" i="21"/>
  <c r="K138" i="21"/>
  <c r="K322" i="21" s="1"/>
  <c r="K250" i="21"/>
  <c r="K68" i="21"/>
  <c r="K69" i="21"/>
  <c r="K321" i="21"/>
  <c r="K33" i="21"/>
  <c r="H108" i="21"/>
  <c r="I108" i="21"/>
  <c r="J108" i="21"/>
  <c r="K224" i="21"/>
  <c r="K8" i="21"/>
  <c r="K225" i="21"/>
  <c r="K9" i="21"/>
  <c r="H57" i="21"/>
  <c r="H102" i="21"/>
  <c r="K299" i="21"/>
  <c r="K191" i="21"/>
  <c r="K300" i="21"/>
  <c r="I129" i="20"/>
  <c r="L163" i="20"/>
  <c r="M158" i="20"/>
  <c r="B311" i="20"/>
  <c r="B310" i="20"/>
  <c r="H103" i="20"/>
  <c r="E138" i="20" s="1"/>
  <c r="F138" i="20"/>
  <c r="L103" i="20"/>
  <c r="E186" i="20"/>
  <c r="E187" i="20" s="1"/>
  <c r="G138" i="20"/>
  <c r="F186" i="20"/>
  <c r="F187" i="20" s="1"/>
  <c r="K249" i="20"/>
  <c r="K138" i="20"/>
  <c r="K322" i="20" s="1"/>
  <c r="K250" i="20"/>
  <c r="K68" i="20"/>
  <c r="K69" i="20"/>
  <c r="K321" i="20"/>
  <c r="H108" i="20"/>
  <c r="K33" i="20"/>
  <c r="J108" i="20"/>
  <c r="K224" i="20"/>
  <c r="I111" i="20"/>
  <c r="K225" i="20"/>
  <c r="K8" i="20"/>
  <c r="K9" i="20"/>
  <c r="H57" i="20"/>
  <c r="H102" i="20"/>
  <c r="K299" i="20"/>
  <c r="K191" i="20"/>
  <c r="K300" i="20"/>
  <c r="K58" i="20"/>
  <c r="J58" i="20" s="1"/>
  <c r="I58" i="20" s="1"/>
  <c r="H58" i="20" s="1"/>
  <c r="M133" i="19"/>
  <c r="L322" i="19"/>
  <c r="M322" i="19" s="1"/>
  <c r="N322" i="19" s="1"/>
  <c r="O322" i="19" s="1"/>
  <c r="I129" i="19"/>
  <c r="L34" i="19"/>
  <c r="E19" i="19"/>
  <c r="E21" i="19" s="1"/>
  <c r="J130" i="19"/>
  <c r="J129" i="19"/>
  <c r="M158" i="19"/>
  <c r="L163" i="19"/>
  <c r="B311" i="19"/>
  <c r="B310" i="19"/>
  <c r="L132" i="19"/>
  <c r="K68" i="19"/>
  <c r="E186" i="19"/>
  <c r="E187" i="19" s="1"/>
  <c r="K249" i="19"/>
  <c r="K321" i="19"/>
  <c r="K8" i="19"/>
  <c r="H57" i="19"/>
  <c r="H102" i="19"/>
  <c r="H111" i="19"/>
  <c r="K224" i="19"/>
  <c r="I111" i="19"/>
  <c r="K225" i="19"/>
  <c r="J111" i="19"/>
  <c r="J103" i="19"/>
  <c r="L103" i="19"/>
  <c r="K299" i="19"/>
  <c r="K191" i="19"/>
  <c r="K300" i="19"/>
  <c r="G178" i="18"/>
  <c r="G184" i="18"/>
  <c r="K158" i="18"/>
  <c r="L128" i="18"/>
  <c r="M128" i="18" s="1"/>
  <c r="N128" i="18" s="1"/>
  <c r="O128" i="18" s="1"/>
  <c r="K107" i="18"/>
  <c r="L132" i="18"/>
  <c r="K123" i="18"/>
  <c r="K117" i="18"/>
  <c r="L133" i="18"/>
  <c r="B311" i="18"/>
  <c r="B310" i="18"/>
  <c r="L34" i="18"/>
  <c r="I130" i="18"/>
  <c r="I129" i="18"/>
  <c r="J113" i="18"/>
  <c r="J131" i="18"/>
  <c r="J130" i="18"/>
  <c r="J129" i="18"/>
  <c r="E19" i="18"/>
  <c r="E21" i="18" s="1"/>
  <c r="J103" i="18"/>
  <c r="L192" i="18"/>
  <c r="B242" i="18"/>
  <c r="B266" i="18" s="1"/>
  <c r="B312" i="18" s="1"/>
  <c r="M103" i="18"/>
  <c r="K249" i="18"/>
  <c r="E137" i="18"/>
  <c r="E177" i="18"/>
  <c r="G186" i="18"/>
  <c r="G187" i="18" s="1"/>
  <c r="K250" i="18"/>
  <c r="K137" i="18"/>
  <c r="F177" i="18"/>
  <c r="L250" i="18"/>
  <c r="K68" i="18"/>
  <c r="G177" i="18"/>
  <c r="K69" i="18"/>
  <c r="L104" i="18"/>
  <c r="L69" i="18"/>
  <c r="K321" i="18"/>
  <c r="K138" i="18"/>
  <c r="K322" i="18" s="1"/>
  <c r="K33" i="18"/>
  <c r="L138" i="18"/>
  <c r="E181" i="18"/>
  <c r="L33" i="18"/>
  <c r="K105" i="18"/>
  <c r="F181" i="18"/>
  <c r="G181" i="18"/>
  <c r="K224" i="18"/>
  <c r="K225" i="18"/>
  <c r="K8" i="18"/>
  <c r="L225" i="18"/>
  <c r="K9" i="18"/>
  <c r="L9" i="18"/>
  <c r="E183" i="18"/>
  <c r="H57" i="18"/>
  <c r="H102" i="18"/>
  <c r="H111" i="18"/>
  <c r="K299" i="18"/>
  <c r="I111" i="18"/>
  <c r="K187" i="18"/>
  <c r="K300" i="18"/>
  <c r="J154" i="17"/>
  <c r="K158" i="17"/>
  <c r="L158" i="17" s="1"/>
  <c r="M158" i="17" s="1"/>
  <c r="N158" i="17" s="1"/>
  <c r="O158" i="17" s="1"/>
  <c r="L34" i="17"/>
  <c r="B311" i="17"/>
  <c r="B310" i="17"/>
  <c r="I130" i="17"/>
  <c r="I129" i="17"/>
  <c r="L127" i="17"/>
  <c r="M127" i="17" s="1"/>
  <c r="N127" i="17" s="1"/>
  <c r="O127" i="17" s="1"/>
  <c r="K105" i="17"/>
  <c r="K123" i="17"/>
  <c r="L132" i="17"/>
  <c r="B242" i="17"/>
  <c r="B266" i="17" s="1"/>
  <c r="B312" i="17" s="1"/>
  <c r="E186" i="17"/>
  <c r="E187" i="17" s="1"/>
  <c r="K249" i="17"/>
  <c r="E177" i="17"/>
  <c r="K250" i="17"/>
  <c r="K8" i="17"/>
  <c r="F177" i="17"/>
  <c r="G177" i="17"/>
  <c r="H57" i="17"/>
  <c r="H102" i="17"/>
  <c r="H111" i="17"/>
  <c r="K321" i="17"/>
  <c r="H103" i="17"/>
  <c r="E138" i="17" s="1"/>
  <c r="I111" i="17"/>
  <c r="E181" i="17"/>
  <c r="L133" i="17"/>
  <c r="F181" i="17"/>
  <c r="G181" i="17"/>
  <c r="K224" i="17"/>
  <c r="L103" i="17"/>
  <c r="K225" i="17"/>
  <c r="K107" i="17"/>
  <c r="E137" i="17"/>
  <c r="K137" i="17"/>
  <c r="E183" i="17"/>
  <c r="K68" i="17"/>
  <c r="K299" i="17"/>
  <c r="K69" i="17"/>
  <c r="L104" i="17"/>
  <c r="K300" i="17"/>
  <c r="K142" i="16"/>
  <c r="K156" i="16"/>
  <c r="K148" i="16"/>
  <c r="K140" i="16"/>
  <c r="K153" i="16"/>
  <c r="K145" i="16"/>
  <c r="J116" i="16"/>
  <c r="J118" i="16" s="1"/>
  <c r="J120" i="16" s="1"/>
  <c r="J111" i="16"/>
  <c r="I129" i="16"/>
  <c r="B311" i="16"/>
  <c r="B310" i="16"/>
  <c r="L34" i="16"/>
  <c r="E168" i="16"/>
  <c r="K138" i="16"/>
  <c r="K322" i="16" s="1"/>
  <c r="B242" i="16"/>
  <c r="B266" i="16" s="1"/>
  <c r="B312" i="16" s="1"/>
  <c r="J103" i="16"/>
  <c r="E186" i="16"/>
  <c r="E187" i="16" s="1"/>
  <c r="L103" i="16"/>
  <c r="L132" i="16"/>
  <c r="F186" i="16"/>
  <c r="F187" i="16" s="1"/>
  <c r="K249" i="16"/>
  <c r="E177" i="16"/>
  <c r="K250" i="16"/>
  <c r="K107" i="16"/>
  <c r="K173" i="16" s="1"/>
  <c r="F177" i="16"/>
  <c r="K68" i="16"/>
  <c r="K69" i="16"/>
  <c r="L104" i="16"/>
  <c r="H111" i="16"/>
  <c r="K321" i="16"/>
  <c r="G177" i="16"/>
  <c r="I111" i="16"/>
  <c r="E181" i="16"/>
  <c r="K33" i="16"/>
  <c r="L133" i="16"/>
  <c r="K105" i="16"/>
  <c r="K172" i="16" s="1"/>
  <c r="G181" i="16"/>
  <c r="K224" i="16"/>
  <c r="K225" i="16"/>
  <c r="K8" i="16"/>
  <c r="E137" i="16"/>
  <c r="K9" i="16"/>
  <c r="K137" i="16"/>
  <c r="E183" i="16"/>
  <c r="K299" i="16"/>
  <c r="H57" i="16"/>
  <c r="H102" i="16"/>
  <c r="K300" i="16"/>
  <c r="L127" i="15"/>
  <c r="M127" i="15" s="1"/>
  <c r="N127" i="15" s="1"/>
  <c r="O127" i="15" s="1"/>
  <c r="K105" i="15"/>
  <c r="I113" i="15"/>
  <c r="I131" i="15"/>
  <c r="L322" i="15"/>
  <c r="M322" i="15" s="1"/>
  <c r="N322" i="15" s="1"/>
  <c r="O322" i="15" s="1"/>
  <c r="J129" i="15"/>
  <c r="E19" i="15"/>
  <c r="E21" i="15" s="1"/>
  <c r="B311" i="15"/>
  <c r="B310" i="15"/>
  <c r="K107" i="15"/>
  <c r="K173" i="15" s="1"/>
  <c r="L128" i="15"/>
  <c r="M128" i="15" s="1"/>
  <c r="N128" i="15" s="1"/>
  <c r="O128" i="15" s="1"/>
  <c r="G168" i="15"/>
  <c r="L132" i="15"/>
  <c r="K123" i="15"/>
  <c r="K212" i="15" s="1"/>
  <c r="K213" i="15" s="1"/>
  <c r="M104" i="15"/>
  <c r="L107" i="15"/>
  <c r="L173" i="15" s="1"/>
  <c r="L171" i="15"/>
  <c r="L105" i="15"/>
  <c r="L172" i="15" s="1"/>
  <c r="L34" i="15"/>
  <c r="J111" i="15"/>
  <c r="I116" i="15"/>
  <c r="I118" i="15" s="1"/>
  <c r="I120" i="15" s="1"/>
  <c r="M133" i="15"/>
  <c r="K224" i="15"/>
  <c r="K225" i="15"/>
  <c r="K249" i="15"/>
  <c r="L225" i="15"/>
  <c r="K250" i="15"/>
  <c r="K8" i="15"/>
  <c r="E137" i="15"/>
  <c r="L250" i="15"/>
  <c r="K137" i="15"/>
  <c r="E183" i="15"/>
  <c r="F183" i="15"/>
  <c r="H57" i="15"/>
  <c r="H102" i="15"/>
  <c r="F138" i="15"/>
  <c r="K171" i="15"/>
  <c r="G183" i="15"/>
  <c r="K191" i="15"/>
  <c r="B227" i="15"/>
  <c r="K321" i="15"/>
  <c r="E184" i="15"/>
  <c r="K192" i="15"/>
  <c r="F184" i="15"/>
  <c r="L192" i="15"/>
  <c r="L138" i="15"/>
  <c r="E176" i="15"/>
  <c r="G184" i="15"/>
  <c r="F176" i="15"/>
  <c r="G176" i="15"/>
  <c r="M103" i="15"/>
  <c r="K68" i="15"/>
  <c r="K69" i="15"/>
  <c r="H111" i="15"/>
  <c r="L69" i="15"/>
  <c r="K140" i="14"/>
  <c r="K199" i="14" s="1"/>
  <c r="K153" i="14"/>
  <c r="K205" i="14" s="1"/>
  <c r="K142" i="14"/>
  <c r="K201" i="14" s="1"/>
  <c r="K156" i="14"/>
  <c r="K206" i="14" s="1"/>
  <c r="K148" i="14"/>
  <c r="N104" i="14"/>
  <c r="M171" i="14"/>
  <c r="M132" i="14"/>
  <c r="L123" i="14"/>
  <c r="L212" i="14" s="1"/>
  <c r="L213" i="14" s="1"/>
  <c r="H116" i="14"/>
  <c r="H118" i="14" s="1"/>
  <c r="H120" i="14" s="1"/>
  <c r="H129" i="14" s="1"/>
  <c r="H111" i="14"/>
  <c r="L127" i="14"/>
  <c r="K105" i="14"/>
  <c r="I129" i="14"/>
  <c r="B311" i="14"/>
  <c r="B310" i="14"/>
  <c r="J108" i="14"/>
  <c r="M133" i="14"/>
  <c r="O251" i="14"/>
  <c r="K8" i="14"/>
  <c r="E137" i="14"/>
  <c r="B242" i="14"/>
  <c r="B266" i="14" s="1"/>
  <c r="B312" i="14" s="1"/>
  <c r="K137" i="14"/>
  <c r="L128" i="14"/>
  <c r="M128" i="14" s="1"/>
  <c r="N128" i="14" s="1"/>
  <c r="O128" i="14" s="1"/>
  <c r="G181" i="14"/>
  <c r="K224" i="14"/>
  <c r="H57" i="14"/>
  <c r="H102" i="14"/>
  <c r="K123" i="14"/>
  <c r="K225" i="14"/>
  <c r="K321" i="14"/>
  <c r="L34" i="14"/>
  <c r="K138" i="14"/>
  <c r="K322" i="14" s="1"/>
  <c r="J103" i="14"/>
  <c r="E183" i="14"/>
  <c r="L103" i="14"/>
  <c r="G183" i="14"/>
  <c r="K191" i="14"/>
  <c r="K249" i="14"/>
  <c r="L171" i="14"/>
  <c r="E184" i="14"/>
  <c r="K192" i="14"/>
  <c r="K250" i="14"/>
  <c r="H127" i="14"/>
  <c r="F184" i="14"/>
  <c r="L107" i="14"/>
  <c r="L173" i="14" s="1"/>
  <c r="G184" i="14"/>
  <c r="K68" i="14"/>
  <c r="J143" i="14"/>
  <c r="K69" i="14"/>
  <c r="I111" i="14"/>
  <c r="L132" i="13"/>
  <c r="K123" i="13"/>
  <c r="K212" i="13" s="1"/>
  <c r="K213" i="13" s="1"/>
  <c r="K140" i="13"/>
  <c r="K153" i="13"/>
  <c r="K205" i="13" s="1"/>
  <c r="K142" i="13"/>
  <c r="K201" i="13" s="1"/>
  <c r="K156" i="13"/>
  <c r="K206" i="13" s="1"/>
  <c r="K148" i="13"/>
  <c r="H116" i="13"/>
  <c r="H118" i="13" s="1"/>
  <c r="H120" i="13" s="1"/>
  <c r="H129" i="13" s="1"/>
  <c r="H111" i="13"/>
  <c r="K117" i="13"/>
  <c r="K194" i="13" s="1"/>
  <c r="L133" i="13"/>
  <c r="B311" i="13"/>
  <c r="B310" i="13"/>
  <c r="I129" i="13"/>
  <c r="L127" i="13"/>
  <c r="M127" i="13" s="1"/>
  <c r="N127" i="13" s="1"/>
  <c r="O127" i="13" s="1"/>
  <c r="K105" i="13"/>
  <c r="K172" i="13" s="1"/>
  <c r="F168" i="13"/>
  <c r="K202" i="13"/>
  <c r="K199" i="13"/>
  <c r="H103" i="13"/>
  <c r="E138" i="13" s="1"/>
  <c r="F138" i="13"/>
  <c r="K249" i="13"/>
  <c r="E177" i="13"/>
  <c r="K235" i="13"/>
  <c r="K250" i="13"/>
  <c r="K8" i="13"/>
  <c r="E137" i="13"/>
  <c r="F177" i="13"/>
  <c r="L250" i="13"/>
  <c r="K137" i="13"/>
  <c r="G177" i="13"/>
  <c r="H57" i="13"/>
  <c r="H102" i="13"/>
  <c r="K34" i="13"/>
  <c r="G138" i="13"/>
  <c r="K321" i="13"/>
  <c r="K106" i="13"/>
  <c r="K108" i="13" s="1"/>
  <c r="K138" i="13"/>
  <c r="K322" i="13" s="1"/>
  <c r="E181" i="13"/>
  <c r="B242" i="13"/>
  <c r="B266" i="13" s="1"/>
  <c r="B312" i="13" s="1"/>
  <c r="M251" i="13"/>
  <c r="L138" i="13"/>
  <c r="F181" i="13"/>
  <c r="G181" i="13"/>
  <c r="K224" i="13"/>
  <c r="K225" i="13"/>
  <c r="M103" i="13"/>
  <c r="L225" i="13"/>
  <c r="K107" i="13"/>
  <c r="K173" i="13" s="1"/>
  <c r="H127" i="13"/>
  <c r="E183" i="13"/>
  <c r="K68" i="13"/>
  <c r="K69" i="13"/>
  <c r="L104" i="13"/>
  <c r="K191" i="13"/>
  <c r="L69" i="13"/>
  <c r="I111" i="13"/>
  <c r="K192" i="13"/>
  <c r="L192" i="13"/>
  <c r="H103" i="12"/>
  <c r="E138" i="12" s="1"/>
  <c r="F138" i="12"/>
  <c r="L132" i="12"/>
  <c r="K123" i="12"/>
  <c r="M259" i="12"/>
  <c r="M273" i="12"/>
  <c r="N251" i="12"/>
  <c r="K148" i="12"/>
  <c r="K140" i="12"/>
  <c r="K153" i="12"/>
  <c r="K205" i="12" s="1"/>
  <c r="K142" i="12"/>
  <c r="K201" i="12" s="1"/>
  <c r="K156" i="12"/>
  <c r="K206" i="12" s="1"/>
  <c r="H116" i="12"/>
  <c r="H118" i="12" s="1"/>
  <c r="H120" i="12" s="1"/>
  <c r="H129" i="12" s="1"/>
  <c r="H111" i="12"/>
  <c r="L133" i="12"/>
  <c r="K117" i="12"/>
  <c r="K194" i="12" s="1"/>
  <c r="I116" i="12"/>
  <c r="I118" i="12" s="1"/>
  <c r="I120" i="12" s="1"/>
  <c r="I111" i="12"/>
  <c r="B311" i="12"/>
  <c r="B310" i="12"/>
  <c r="L34" i="12"/>
  <c r="J116" i="12"/>
  <c r="J118" i="12" s="1"/>
  <c r="J120" i="12" s="1"/>
  <c r="J111" i="12"/>
  <c r="K137" i="12"/>
  <c r="H57" i="12"/>
  <c r="H102" i="12"/>
  <c r="B227" i="12"/>
  <c r="G138" i="12"/>
  <c r="E177" i="12"/>
  <c r="K138" i="12"/>
  <c r="K322" i="12" s="1"/>
  <c r="F177" i="12"/>
  <c r="L138" i="12"/>
  <c r="G177" i="12"/>
  <c r="M103" i="12"/>
  <c r="K235" i="12"/>
  <c r="K321" i="12"/>
  <c r="K107" i="12"/>
  <c r="K173" i="12" s="1"/>
  <c r="H127" i="12"/>
  <c r="E181" i="12"/>
  <c r="I127" i="12"/>
  <c r="F181" i="12"/>
  <c r="K68" i="12"/>
  <c r="J127" i="12"/>
  <c r="K127" i="12" s="1"/>
  <c r="L127" i="12" s="1"/>
  <c r="M127" i="12" s="1"/>
  <c r="N127" i="12" s="1"/>
  <c r="O127" i="12" s="1"/>
  <c r="G181" i="12"/>
  <c r="K69" i="12"/>
  <c r="L104" i="12"/>
  <c r="K249" i="12"/>
  <c r="L69" i="12"/>
  <c r="K250" i="12"/>
  <c r="L250" i="12"/>
  <c r="F183" i="12"/>
  <c r="K224" i="12"/>
  <c r="K191" i="12"/>
  <c r="K225" i="12"/>
  <c r="K299" i="12"/>
  <c r="K192" i="12"/>
  <c r="L225" i="12"/>
  <c r="K8" i="12"/>
  <c r="L192" i="12"/>
  <c r="B311" i="11"/>
  <c r="B310" i="11"/>
  <c r="M284" i="11"/>
  <c r="M259" i="11"/>
  <c r="M273" i="11"/>
  <c r="N251" i="11"/>
  <c r="G168" i="11"/>
  <c r="M104" i="11"/>
  <c r="L107" i="11"/>
  <c r="L173" i="11" s="1"/>
  <c r="L171" i="11"/>
  <c r="L132" i="11"/>
  <c r="K123" i="11"/>
  <c r="H116" i="11"/>
  <c r="H118" i="11" s="1"/>
  <c r="H120" i="11" s="1"/>
  <c r="H129" i="11" s="1"/>
  <c r="H111" i="11"/>
  <c r="L34" i="11"/>
  <c r="L127" i="11"/>
  <c r="M127" i="11" s="1"/>
  <c r="N127" i="11" s="1"/>
  <c r="O127" i="11" s="1"/>
  <c r="K105" i="11"/>
  <c r="I130" i="11"/>
  <c r="I129" i="11"/>
  <c r="H103" i="11"/>
  <c r="E138" i="11" s="1"/>
  <c r="F138" i="11"/>
  <c r="J113" i="11"/>
  <c r="J131" i="11"/>
  <c r="J116" i="11"/>
  <c r="J118" i="11" s="1"/>
  <c r="J120" i="11" s="1"/>
  <c r="K235" i="11"/>
  <c r="E137" i="11"/>
  <c r="K137" i="11"/>
  <c r="L128" i="11"/>
  <c r="M128" i="11" s="1"/>
  <c r="N128" i="11" s="1"/>
  <c r="O128" i="11" s="1"/>
  <c r="F183" i="11"/>
  <c r="H57" i="11"/>
  <c r="H102" i="11"/>
  <c r="K171" i="11"/>
  <c r="G183" i="11"/>
  <c r="K191" i="11"/>
  <c r="G138" i="11"/>
  <c r="E149" i="11"/>
  <c r="E168" i="11" s="1"/>
  <c r="E184" i="11"/>
  <c r="K192" i="11"/>
  <c r="K321" i="11"/>
  <c r="K138" i="11"/>
  <c r="K322" i="11" s="1"/>
  <c r="F184" i="11"/>
  <c r="L192" i="11"/>
  <c r="B242" i="11"/>
  <c r="B266" i="11" s="1"/>
  <c r="B312" i="11" s="1"/>
  <c r="K8" i="11"/>
  <c r="L138" i="11"/>
  <c r="E176" i="11"/>
  <c r="G184" i="11"/>
  <c r="F176" i="11"/>
  <c r="K224" i="11"/>
  <c r="G176" i="11"/>
  <c r="K225" i="11"/>
  <c r="K249" i="11"/>
  <c r="M103" i="11"/>
  <c r="E177" i="11"/>
  <c r="L225" i="11"/>
  <c r="K250" i="11"/>
  <c r="H127" i="11"/>
  <c r="L250" i="11"/>
  <c r="K68" i="11"/>
  <c r="K69" i="11"/>
  <c r="L69" i="11"/>
  <c r="I111" i="11"/>
  <c r="M284" i="10"/>
  <c r="M259" i="10"/>
  <c r="M273" i="10"/>
  <c r="N251" i="10"/>
  <c r="L322" i="10"/>
  <c r="M322" i="10" s="1"/>
  <c r="N322" i="10" s="1"/>
  <c r="O322" i="10" s="1"/>
  <c r="K107" i="10"/>
  <c r="K173" i="10" s="1"/>
  <c r="E168" i="10"/>
  <c r="L132" i="10"/>
  <c r="K123" i="10"/>
  <c r="K117" i="10"/>
  <c r="K194" i="10" s="1"/>
  <c r="L133" i="10"/>
  <c r="F168" i="10"/>
  <c r="B311" i="10"/>
  <c r="B310" i="10"/>
  <c r="L34" i="10"/>
  <c r="G168" i="10"/>
  <c r="E186" i="10"/>
  <c r="E187" i="10" s="1"/>
  <c r="F186" i="10"/>
  <c r="F187" i="10" s="1"/>
  <c r="E177" i="10"/>
  <c r="H108" i="10"/>
  <c r="F177" i="10"/>
  <c r="L104" i="10"/>
  <c r="G177" i="10"/>
  <c r="K105" i="10"/>
  <c r="K172" i="10" s="1"/>
  <c r="E178" i="10"/>
  <c r="K321" i="10"/>
  <c r="K8" i="10"/>
  <c r="E137" i="10"/>
  <c r="E181" i="10"/>
  <c r="B242" i="10"/>
  <c r="B266" i="10" s="1"/>
  <c r="B312" i="10" s="1"/>
  <c r="K137" i="10"/>
  <c r="F181" i="10"/>
  <c r="G181" i="10"/>
  <c r="K224" i="10"/>
  <c r="H57" i="10"/>
  <c r="H102" i="10"/>
  <c r="K225" i="10"/>
  <c r="K249" i="10"/>
  <c r="L225" i="10"/>
  <c r="K250" i="10"/>
  <c r="L250" i="10"/>
  <c r="L138" i="10"/>
  <c r="E183" i="10"/>
  <c r="F183" i="10"/>
  <c r="K171" i="10"/>
  <c r="K191" i="10"/>
  <c r="K299" i="10"/>
  <c r="K192" i="10"/>
  <c r="L192" i="10"/>
  <c r="L120" i="23" l="1"/>
  <c r="L70" i="23"/>
  <c r="M120" i="23"/>
  <c r="M70" i="23"/>
  <c r="L207" i="23"/>
  <c r="L73" i="23" s="1"/>
  <c r="L37" i="29"/>
  <c r="K41" i="29"/>
  <c r="L132" i="29"/>
  <c r="L64" i="29"/>
  <c r="L326" i="29"/>
  <c r="L328" i="29" s="1"/>
  <c r="L133" i="29"/>
  <c r="O325" i="29"/>
  <c r="J97" i="29"/>
  <c r="J96" i="29"/>
  <c r="M77" i="29"/>
  <c r="K132" i="29"/>
  <c r="K64" i="29"/>
  <c r="K326" i="29"/>
  <c r="K328" i="29" s="1"/>
  <c r="K133" i="29"/>
  <c r="H150" i="29"/>
  <c r="J150" i="29" s="1"/>
  <c r="J152" i="29" s="1"/>
  <c r="M56" i="29"/>
  <c r="F55" i="29" s="1"/>
  <c r="N119" i="29"/>
  <c r="N121" i="29" s="1"/>
  <c r="N206" i="29"/>
  <c r="N157" i="29"/>
  <c r="K42" i="29"/>
  <c r="K198" i="29" s="1"/>
  <c r="N148" i="29"/>
  <c r="O148" i="29" s="1"/>
  <c r="O204" i="29"/>
  <c r="N202" i="29"/>
  <c r="N210" i="29" s="1"/>
  <c r="N76" i="29" s="1"/>
  <c r="N84" i="29"/>
  <c r="O161" i="29"/>
  <c r="O36" i="29"/>
  <c r="N203" i="29"/>
  <c r="O159" i="29"/>
  <c r="O209" i="29" s="1"/>
  <c r="O151" i="29"/>
  <c r="O205" i="29" s="1"/>
  <c r="O143" i="29"/>
  <c r="O202" i="29" s="1"/>
  <c r="O156" i="29"/>
  <c r="O208" i="29" s="1"/>
  <c r="O145" i="29"/>
  <c r="O155" i="29"/>
  <c r="O207" i="29" s="1"/>
  <c r="O144" i="29"/>
  <c r="O203" i="29" s="1"/>
  <c r="O154" i="29"/>
  <c r="N215" i="29"/>
  <c r="N216" i="29" s="1"/>
  <c r="O111" i="29"/>
  <c r="O215" i="29"/>
  <c r="O216" i="29" s="1"/>
  <c r="N204" i="29"/>
  <c r="K271" i="29"/>
  <c r="K230" i="29" s="1"/>
  <c r="K231" i="29" s="1"/>
  <c r="M123" i="29"/>
  <c r="F338" i="28" a="1"/>
  <c r="N74" i="28"/>
  <c r="O152" i="28"/>
  <c r="O204" i="28" s="1"/>
  <c r="O141" i="28"/>
  <c r="O200" i="28" s="1"/>
  <c r="O151" i="28"/>
  <c r="K129" i="28"/>
  <c r="K323" i="28"/>
  <c r="K325" i="28" s="1"/>
  <c r="K61" i="28"/>
  <c r="K130" i="28"/>
  <c r="O199" i="28"/>
  <c r="O202" i="28"/>
  <c r="O156" i="28"/>
  <c r="O206" i="28" s="1"/>
  <c r="O148" i="28"/>
  <c r="O153" i="28"/>
  <c r="O205" i="28" s="1"/>
  <c r="O142" i="28"/>
  <c r="O140" i="28"/>
  <c r="O201" i="28"/>
  <c r="O106" i="28"/>
  <c r="O108" i="28" s="1"/>
  <c r="O158" i="28"/>
  <c r="N81" i="28"/>
  <c r="N199" i="28"/>
  <c r="K268" i="28"/>
  <c r="K227" i="28" s="1"/>
  <c r="K228" i="28" s="1"/>
  <c r="L129" i="28"/>
  <c r="L130" i="28"/>
  <c r="L323" i="28"/>
  <c r="L325" i="28" s="1"/>
  <c r="L61" i="28"/>
  <c r="O145" i="28"/>
  <c r="L35" i="28"/>
  <c r="K39" i="28"/>
  <c r="N120" i="28"/>
  <c r="N201" i="28"/>
  <c r="N202" i="28"/>
  <c r="N154" i="28"/>
  <c r="N203" i="28"/>
  <c r="M120" i="28"/>
  <c r="O212" i="28"/>
  <c r="O213" i="28" s="1"/>
  <c r="M53" i="28"/>
  <c r="F52" i="28" s="1"/>
  <c r="J86" i="28"/>
  <c r="J88" i="28" s="1"/>
  <c r="N200" i="28"/>
  <c r="K40" i="28"/>
  <c r="K195" i="28" s="1"/>
  <c r="M203" i="26"/>
  <c r="L203" i="26"/>
  <c r="N148" i="26"/>
  <c r="O148" i="26" s="1"/>
  <c r="O215" i="26"/>
  <c r="O216" i="26" s="1"/>
  <c r="N119" i="26"/>
  <c r="N121" i="26" s="1"/>
  <c r="J90" i="26"/>
  <c r="K292" i="26"/>
  <c r="N84" i="26"/>
  <c r="O161" i="26"/>
  <c r="J88" i="26"/>
  <c r="K281" i="26"/>
  <c r="M77" i="26"/>
  <c r="O36" i="26"/>
  <c r="N206" i="26"/>
  <c r="N157" i="26"/>
  <c r="I38" i="26"/>
  <c r="K38" i="26" s="1"/>
  <c r="L38" i="26" s="1"/>
  <c r="M38" i="26" s="1"/>
  <c r="N38" i="26" s="1"/>
  <c r="O38" i="26" s="1"/>
  <c r="I37" i="26"/>
  <c r="K37" i="26" s="1"/>
  <c r="J41" i="26"/>
  <c r="M52" i="26"/>
  <c r="H150" i="26" s="1"/>
  <c r="J150" i="26" s="1"/>
  <c r="J152" i="26" s="1"/>
  <c r="L123" i="26"/>
  <c r="J87" i="26"/>
  <c r="K270" i="26"/>
  <c r="N215" i="26"/>
  <c r="N216" i="26" s="1"/>
  <c r="K149" i="26"/>
  <c r="L149" i="26" s="1"/>
  <c r="M149" i="26" s="1"/>
  <c r="N149" i="26" s="1"/>
  <c r="O149" i="26" s="1"/>
  <c r="M207" i="26"/>
  <c r="M210" i="26" s="1"/>
  <c r="M76" i="26" s="1"/>
  <c r="J86" i="26"/>
  <c r="K257" i="26"/>
  <c r="J166" i="26"/>
  <c r="K65" i="26"/>
  <c r="L206" i="26"/>
  <c r="L157" i="26"/>
  <c r="O159" i="26"/>
  <c r="O209" i="26" s="1"/>
  <c r="O151" i="26"/>
  <c r="O205" i="26" s="1"/>
  <c r="O143" i="26"/>
  <c r="O202" i="26" s="1"/>
  <c r="O145" i="26"/>
  <c r="O204" i="26" s="1"/>
  <c r="O156" i="26"/>
  <c r="O208" i="26" s="1"/>
  <c r="O325" i="26"/>
  <c r="O155" i="26"/>
  <c r="O207" i="26" s="1"/>
  <c r="O144" i="26"/>
  <c r="O203" i="26" s="1"/>
  <c r="O154" i="26"/>
  <c r="O109" i="26"/>
  <c r="O111" i="26" s="1"/>
  <c r="M123" i="26"/>
  <c r="N203" i="26"/>
  <c r="I39" i="26"/>
  <c r="K39" i="26" s="1"/>
  <c r="L39" i="26" s="1"/>
  <c r="M39" i="26" s="1"/>
  <c r="N39" i="26" s="1"/>
  <c r="O39" i="26" s="1"/>
  <c r="L207" i="24"/>
  <c r="L73" i="24" s="1"/>
  <c r="O123" i="24"/>
  <c r="O158" i="24"/>
  <c r="O81" i="24" s="1"/>
  <c r="O59" i="24"/>
  <c r="O60" i="24" s="1"/>
  <c r="O105" i="24"/>
  <c r="O172" i="24" s="1"/>
  <c r="O107" i="24"/>
  <c r="O173" i="24" s="1"/>
  <c r="O171" i="24"/>
  <c r="N152" i="24"/>
  <c r="N204" i="24" s="1"/>
  <c r="N141" i="24"/>
  <c r="N200" i="24" s="1"/>
  <c r="N151" i="24"/>
  <c r="N106" i="24"/>
  <c r="N108" i="24" s="1"/>
  <c r="M74" i="24"/>
  <c r="N156" i="24"/>
  <c r="N206" i="24" s="1"/>
  <c r="N148" i="24"/>
  <c r="N202" i="24" s="1"/>
  <c r="N140" i="24"/>
  <c r="N153" i="24"/>
  <c r="N205" i="24" s="1"/>
  <c r="N142" i="24"/>
  <c r="N201" i="24" s="1"/>
  <c r="L120" i="24"/>
  <c r="I37" i="24"/>
  <c r="K37" i="24" s="1"/>
  <c r="L37" i="24" s="1"/>
  <c r="M37" i="24" s="1"/>
  <c r="N37" i="24" s="1"/>
  <c r="O37" i="24" s="1"/>
  <c r="O117" i="24"/>
  <c r="O194" i="24" s="1"/>
  <c r="J87" i="24"/>
  <c r="K289" i="24"/>
  <c r="J83" i="24"/>
  <c r="K254" i="24"/>
  <c r="J163" i="24"/>
  <c r="M116" i="24"/>
  <c r="M118" i="24" s="1"/>
  <c r="M53" i="24"/>
  <c r="F52" i="24" s="1"/>
  <c r="J85" i="24"/>
  <c r="K278" i="24"/>
  <c r="O322" i="24"/>
  <c r="K146" i="24"/>
  <c r="L146" i="24" s="1"/>
  <c r="M146" i="24" s="1"/>
  <c r="N146" i="24" s="1"/>
  <c r="O146" i="24" s="1"/>
  <c r="I36" i="24"/>
  <c r="K36" i="24" s="1"/>
  <c r="L36" i="24" s="1"/>
  <c r="M36" i="24" s="1"/>
  <c r="N36" i="24" s="1"/>
  <c r="O36" i="24" s="1"/>
  <c r="N199" i="24"/>
  <c r="M154" i="24"/>
  <c r="M203" i="24"/>
  <c r="K62" i="24"/>
  <c r="N145" i="24"/>
  <c r="I35" i="24"/>
  <c r="K35" i="24" s="1"/>
  <c r="J39" i="24"/>
  <c r="M50" i="24"/>
  <c r="H147" i="24" s="1"/>
  <c r="J147" i="24" s="1"/>
  <c r="J149" i="24" s="1"/>
  <c r="N212" i="24"/>
  <c r="N213" i="24" s="1"/>
  <c r="J84" i="24"/>
  <c r="K267" i="24"/>
  <c r="M201" i="24"/>
  <c r="J84" i="23"/>
  <c r="K267" i="23"/>
  <c r="K62" i="23"/>
  <c r="J83" i="23"/>
  <c r="J163" i="23"/>
  <c r="K254" i="23"/>
  <c r="O59" i="23"/>
  <c r="O60" i="23" s="1"/>
  <c r="O171" i="23"/>
  <c r="O105" i="23"/>
  <c r="O172" i="23" s="1"/>
  <c r="O107" i="23"/>
  <c r="O173" i="23" s="1"/>
  <c r="I37" i="23"/>
  <c r="K37" i="23" s="1"/>
  <c r="L37" i="23" s="1"/>
  <c r="M37" i="23" s="1"/>
  <c r="N37" i="23" s="1"/>
  <c r="O37" i="23" s="1"/>
  <c r="N152" i="23"/>
  <c r="N204" i="23" s="1"/>
  <c r="N141" i="23"/>
  <c r="N151" i="23"/>
  <c r="J87" i="23"/>
  <c r="K289" i="23"/>
  <c r="N106" i="23"/>
  <c r="N108" i="23" s="1"/>
  <c r="O81" i="23"/>
  <c r="J85" i="23"/>
  <c r="K278" i="23"/>
  <c r="N156" i="23"/>
  <c r="N206" i="23" s="1"/>
  <c r="N148" i="23"/>
  <c r="N140" i="23"/>
  <c r="N199" i="23" s="1"/>
  <c r="N142" i="23"/>
  <c r="N201" i="23" s="1"/>
  <c r="N153" i="23"/>
  <c r="N205" i="23" s="1"/>
  <c r="I36" i="23"/>
  <c r="K36" i="23" s="1"/>
  <c r="L36" i="23" s="1"/>
  <c r="M36" i="23" s="1"/>
  <c r="N36" i="23" s="1"/>
  <c r="O36" i="23" s="1"/>
  <c r="N145" i="23"/>
  <c r="K146" i="23"/>
  <c r="L146" i="23" s="1"/>
  <c r="M146" i="23" s="1"/>
  <c r="N146" i="23" s="1"/>
  <c r="O146" i="23" s="1"/>
  <c r="O322" i="23"/>
  <c r="L129" i="23"/>
  <c r="L61" i="23"/>
  <c r="L130" i="23"/>
  <c r="L323" i="23"/>
  <c r="L325" i="23" s="1"/>
  <c r="N212" i="23"/>
  <c r="N213" i="23" s="1"/>
  <c r="O123" i="23"/>
  <c r="O65" i="23" s="1"/>
  <c r="O66" i="23" s="1"/>
  <c r="O34" i="23"/>
  <c r="M202" i="23"/>
  <c r="M154" i="23"/>
  <c r="M203" i="23"/>
  <c r="M74" i="23"/>
  <c r="M129" i="23"/>
  <c r="M61" i="23"/>
  <c r="M130" i="23"/>
  <c r="M323" i="23"/>
  <c r="M325" i="23" s="1"/>
  <c r="O117" i="23"/>
  <c r="O194" i="23" s="1"/>
  <c r="I35" i="23"/>
  <c r="K35" i="23" s="1"/>
  <c r="M49" i="23"/>
  <c r="H147" i="23" s="1"/>
  <c r="J147" i="23" s="1"/>
  <c r="J149" i="23" s="1"/>
  <c r="J39" i="23"/>
  <c r="M199" i="23"/>
  <c r="N116" i="22"/>
  <c r="N118" i="22" s="1"/>
  <c r="N120" i="22" s="1"/>
  <c r="O156" i="22"/>
  <c r="O206" i="22" s="1"/>
  <c r="O148" i="22"/>
  <c r="O140" i="22"/>
  <c r="O153" i="22"/>
  <c r="O205" i="22" s="1"/>
  <c r="O142" i="22"/>
  <c r="O201" i="22" s="1"/>
  <c r="O199" i="22"/>
  <c r="N201" i="22"/>
  <c r="O202" i="22"/>
  <c r="O152" i="22"/>
  <c r="O204" i="22" s="1"/>
  <c r="O141" i="22"/>
  <c r="O200" i="22" s="1"/>
  <c r="O151" i="22"/>
  <c r="O106" i="22"/>
  <c r="O108" i="22" s="1"/>
  <c r="M207" i="22"/>
  <c r="I37" i="22"/>
  <c r="K37" i="22"/>
  <c r="L37" i="22" s="1"/>
  <c r="M37" i="22" s="1"/>
  <c r="N37" i="22" s="1"/>
  <c r="O37" i="22" s="1"/>
  <c r="K289" i="22"/>
  <c r="O322" i="22"/>
  <c r="M53" i="22"/>
  <c r="F52" i="22" s="1"/>
  <c r="M129" i="22"/>
  <c r="M130" i="22"/>
  <c r="M323" i="22"/>
  <c r="M325" i="22" s="1"/>
  <c r="I36" i="22"/>
  <c r="K36" i="22"/>
  <c r="L36" i="22" s="1"/>
  <c r="M36" i="22" s="1"/>
  <c r="N36" i="22" s="1"/>
  <c r="O36" i="22" s="1"/>
  <c r="K146" i="22"/>
  <c r="L146" i="22" s="1"/>
  <c r="M146" i="22" s="1"/>
  <c r="N146" i="22" s="1"/>
  <c r="O146" i="22" s="1"/>
  <c r="K35" i="22"/>
  <c r="I35" i="22"/>
  <c r="M49" i="22"/>
  <c r="H147" i="22" s="1"/>
  <c r="J147" i="22" s="1"/>
  <c r="J149" i="22" s="1"/>
  <c r="J39" i="22"/>
  <c r="N202" i="22"/>
  <c r="K267" i="22"/>
  <c r="N199" i="22"/>
  <c r="N207" i="22" s="1"/>
  <c r="K254" i="22"/>
  <c r="J163" i="22"/>
  <c r="K278" i="22"/>
  <c r="N154" i="22"/>
  <c r="N203" i="22"/>
  <c r="N200" i="22"/>
  <c r="G138" i="10"/>
  <c r="I103" i="10"/>
  <c r="J111" i="10"/>
  <c r="J116" i="10"/>
  <c r="J118" i="10" s="1"/>
  <c r="J120" i="10" s="1"/>
  <c r="L300" i="10"/>
  <c r="L33" i="10"/>
  <c r="L69" i="10"/>
  <c r="L58" i="10"/>
  <c r="L9" i="10"/>
  <c r="M103" i="10"/>
  <c r="I116" i="10"/>
  <c r="I118" i="10" s="1"/>
  <c r="I120" i="10" s="1"/>
  <c r="I129" i="10" s="1"/>
  <c r="I111" i="10"/>
  <c r="L105" i="11"/>
  <c r="L172" i="11" s="1"/>
  <c r="L151" i="11" s="1"/>
  <c r="L117" i="11"/>
  <c r="L194" i="11" s="1"/>
  <c r="F168" i="12"/>
  <c r="E168" i="12"/>
  <c r="L300" i="12"/>
  <c r="L58" i="12"/>
  <c r="I130" i="13"/>
  <c r="J111" i="13"/>
  <c r="J116" i="13"/>
  <c r="J118" i="13" s="1"/>
  <c r="J120" i="13" s="1"/>
  <c r="M107" i="14"/>
  <c r="M173" i="14" s="1"/>
  <c r="L117" i="14"/>
  <c r="L194" i="14" s="1"/>
  <c r="K145" i="15"/>
  <c r="I130" i="16"/>
  <c r="J116" i="17"/>
  <c r="J118" i="17" s="1"/>
  <c r="J120" i="17" s="1"/>
  <c r="J111" i="17"/>
  <c r="L300" i="18"/>
  <c r="L58" i="18"/>
  <c r="I116" i="21"/>
  <c r="I118" i="21" s="1"/>
  <c r="I120" i="21" s="1"/>
  <c r="I111" i="21"/>
  <c r="H116" i="21"/>
  <c r="H118" i="21" s="1"/>
  <c r="H120" i="21" s="1"/>
  <c r="H129" i="21" s="1"/>
  <c r="H111" i="21"/>
  <c r="J111" i="21"/>
  <c r="J116" i="21"/>
  <c r="J118" i="21" s="1"/>
  <c r="J120" i="21" s="1"/>
  <c r="L322" i="21"/>
  <c r="M322" i="21" s="1"/>
  <c r="N322" i="21" s="1"/>
  <c r="O322" i="21" s="1"/>
  <c r="L300" i="21"/>
  <c r="L9" i="21"/>
  <c r="L225" i="21"/>
  <c r="L33" i="21"/>
  <c r="L69" i="21"/>
  <c r="L250" i="21"/>
  <c r="L138" i="21"/>
  <c r="M103" i="21"/>
  <c r="L58" i="21"/>
  <c r="L192" i="21"/>
  <c r="M163" i="21"/>
  <c r="N158" i="21"/>
  <c r="L322" i="20"/>
  <c r="M322" i="20" s="1"/>
  <c r="N322" i="20" s="1"/>
  <c r="O322" i="20" s="1"/>
  <c r="L300" i="20"/>
  <c r="L192" i="20"/>
  <c r="L9" i="20"/>
  <c r="L225" i="20"/>
  <c r="L33" i="20"/>
  <c r="L69" i="20"/>
  <c r="L250" i="20"/>
  <c r="L138" i="20"/>
  <c r="M103" i="20"/>
  <c r="L58" i="20"/>
  <c r="M163" i="20"/>
  <c r="N158" i="20"/>
  <c r="I131" i="20"/>
  <c r="I113" i="20"/>
  <c r="J111" i="20"/>
  <c r="J116" i="20"/>
  <c r="J118" i="20" s="1"/>
  <c r="J120" i="20" s="1"/>
  <c r="H116" i="20"/>
  <c r="H118" i="20" s="1"/>
  <c r="H120" i="20" s="1"/>
  <c r="H111" i="20"/>
  <c r="M132" i="19"/>
  <c r="L300" i="19"/>
  <c r="M103" i="19"/>
  <c r="L58" i="19"/>
  <c r="L225" i="19"/>
  <c r="L9" i="19"/>
  <c r="L33" i="19"/>
  <c r="L250" i="19"/>
  <c r="L138" i="19"/>
  <c r="L69" i="19"/>
  <c r="L192" i="19"/>
  <c r="I103" i="19"/>
  <c r="G138" i="19"/>
  <c r="J113" i="19"/>
  <c r="J131" i="19"/>
  <c r="M163" i="19"/>
  <c r="N158" i="19"/>
  <c r="I113" i="19"/>
  <c r="I131" i="19"/>
  <c r="F49" i="19"/>
  <c r="F48" i="19"/>
  <c r="F50" i="19"/>
  <c r="F51" i="19"/>
  <c r="H131" i="19"/>
  <c r="H113" i="19"/>
  <c r="E24" i="19"/>
  <c r="M50" i="19"/>
  <c r="M34" i="19"/>
  <c r="F338" i="19" a="1"/>
  <c r="N133" i="19"/>
  <c r="L158" i="18"/>
  <c r="M34" i="18"/>
  <c r="L117" i="18"/>
  <c r="M133" i="18"/>
  <c r="K106" i="18"/>
  <c r="K108" i="18" s="1"/>
  <c r="M9" i="18"/>
  <c r="M225" i="18"/>
  <c r="M33" i="18"/>
  <c r="M138" i="18"/>
  <c r="M69" i="18"/>
  <c r="M250" i="18"/>
  <c r="N103" i="18"/>
  <c r="M58" i="18"/>
  <c r="M192" i="18"/>
  <c r="M300" i="18"/>
  <c r="I103" i="18"/>
  <c r="G138" i="18"/>
  <c r="M132" i="18"/>
  <c r="L123" i="18"/>
  <c r="L322" i="18"/>
  <c r="M322" i="18" s="1"/>
  <c r="N322" i="18" s="1"/>
  <c r="O322" i="18" s="1"/>
  <c r="I113" i="18"/>
  <c r="I131" i="18"/>
  <c r="M50" i="18"/>
  <c r="E24" i="18"/>
  <c r="F48" i="18"/>
  <c r="F51" i="18"/>
  <c r="F50" i="18"/>
  <c r="F49" i="18"/>
  <c r="H113" i="18"/>
  <c r="H131" i="18"/>
  <c r="L187" i="18"/>
  <c r="L105" i="18"/>
  <c r="M104" i="18"/>
  <c r="L107" i="18"/>
  <c r="L106" i="18"/>
  <c r="L108" i="18" s="1"/>
  <c r="L123" i="17"/>
  <c r="M132" i="17"/>
  <c r="H131" i="17"/>
  <c r="H113" i="17"/>
  <c r="M104" i="17"/>
  <c r="L107" i="17"/>
  <c r="L105" i="17"/>
  <c r="K106" i="17"/>
  <c r="K108" i="17" s="1"/>
  <c r="L300" i="17"/>
  <c r="L69" i="17"/>
  <c r="L225" i="17"/>
  <c r="M103" i="17"/>
  <c r="L58" i="17"/>
  <c r="L9" i="17"/>
  <c r="L250" i="17"/>
  <c r="L33" i="17"/>
  <c r="L138" i="17"/>
  <c r="L192" i="17"/>
  <c r="F338" i="17" a="1"/>
  <c r="L117" i="17"/>
  <c r="M133" i="17"/>
  <c r="M34" i="17"/>
  <c r="I131" i="17"/>
  <c r="I113" i="17"/>
  <c r="H131" i="16"/>
  <c r="H113" i="16"/>
  <c r="L171" i="16"/>
  <c r="L105" i="16"/>
  <c r="L172" i="16" s="1"/>
  <c r="L107" i="16"/>
  <c r="L173" i="16" s="1"/>
  <c r="M104" i="16"/>
  <c r="M34" i="16"/>
  <c r="J131" i="16"/>
  <c r="J113" i="16"/>
  <c r="L163" i="16"/>
  <c r="J130" i="16"/>
  <c r="J129" i="16"/>
  <c r="E19" i="16"/>
  <c r="E21" i="16" s="1"/>
  <c r="L123" i="16"/>
  <c r="M132" i="16"/>
  <c r="L300" i="16"/>
  <c r="L9" i="16"/>
  <c r="L225" i="16"/>
  <c r="L33" i="16"/>
  <c r="L69" i="16"/>
  <c r="L250" i="16"/>
  <c r="L58" i="16"/>
  <c r="L138" i="16"/>
  <c r="M103" i="16"/>
  <c r="L192" i="16"/>
  <c r="K152" i="16"/>
  <c r="K141" i="16"/>
  <c r="K143" i="16" s="1"/>
  <c r="K151" i="16"/>
  <c r="L117" i="16"/>
  <c r="M133" i="16"/>
  <c r="G138" i="16"/>
  <c r="I103" i="16"/>
  <c r="I131" i="16"/>
  <c r="I113" i="16"/>
  <c r="L322" i="16"/>
  <c r="M322" i="16" s="1"/>
  <c r="N322" i="16" s="1"/>
  <c r="O322" i="16" s="1"/>
  <c r="K106" i="16"/>
  <c r="K108" i="16" s="1"/>
  <c r="M117" i="15"/>
  <c r="M194" i="15" s="1"/>
  <c r="N133" i="15"/>
  <c r="I130" i="15"/>
  <c r="I129" i="15"/>
  <c r="J113" i="15"/>
  <c r="J131" i="15"/>
  <c r="M34" i="15"/>
  <c r="K140" i="15"/>
  <c r="K153" i="15"/>
  <c r="K205" i="15" s="1"/>
  <c r="K142" i="15"/>
  <c r="K156" i="15"/>
  <c r="K206" i="15" s="1"/>
  <c r="K148" i="15"/>
  <c r="L152" i="15"/>
  <c r="L141" i="15"/>
  <c r="L151" i="15"/>
  <c r="H113" i="15"/>
  <c r="H131" i="15"/>
  <c r="L140" i="15"/>
  <c r="L153" i="15"/>
  <c r="L142" i="15"/>
  <c r="L156" i="15"/>
  <c r="L148" i="15"/>
  <c r="L106" i="15"/>
  <c r="L108" i="15" s="1"/>
  <c r="J130" i="15"/>
  <c r="M50" i="15"/>
  <c r="I165" i="15" s="1"/>
  <c r="E24" i="15"/>
  <c r="M107" i="15"/>
  <c r="M173" i="15" s="1"/>
  <c r="M171" i="15"/>
  <c r="M105" i="15"/>
  <c r="M172" i="15" s="1"/>
  <c r="N104" i="15"/>
  <c r="N103" i="15"/>
  <c r="M58" i="15"/>
  <c r="M138" i="15"/>
  <c r="M192" i="15"/>
  <c r="M9" i="15"/>
  <c r="M250" i="15"/>
  <c r="M225" i="15"/>
  <c r="M33" i="15"/>
  <c r="M300" i="15"/>
  <c r="M69" i="15"/>
  <c r="F51" i="15"/>
  <c r="F50" i="15"/>
  <c r="F49" i="15"/>
  <c r="F48" i="15"/>
  <c r="M132" i="15"/>
  <c r="L123" i="15"/>
  <c r="L212" i="15" s="1"/>
  <c r="L213" i="15" s="1"/>
  <c r="K163" i="15"/>
  <c r="F338" i="15" a="1"/>
  <c r="K172" i="15"/>
  <c r="K106" i="15"/>
  <c r="K108" i="15" s="1"/>
  <c r="H113" i="14"/>
  <c r="H131" i="14"/>
  <c r="L140" i="14"/>
  <c r="L153" i="14"/>
  <c r="L205" i="14" s="1"/>
  <c r="L142" i="14"/>
  <c r="L156" i="14"/>
  <c r="L206" i="14" s="1"/>
  <c r="L148" i="14"/>
  <c r="N132" i="14"/>
  <c r="M123" i="14"/>
  <c r="M212" i="14" s="1"/>
  <c r="M213" i="14" s="1"/>
  <c r="M117" i="14"/>
  <c r="M194" i="14" s="1"/>
  <c r="N133" i="14"/>
  <c r="J111" i="14"/>
  <c r="J116" i="14"/>
  <c r="J118" i="14" s="1"/>
  <c r="J120" i="14" s="1"/>
  <c r="L300" i="14"/>
  <c r="L69" i="14"/>
  <c r="L250" i="14"/>
  <c r="L192" i="14"/>
  <c r="M103" i="14"/>
  <c r="L58" i="14"/>
  <c r="L138" i="14"/>
  <c r="L225" i="14"/>
  <c r="L9" i="14"/>
  <c r="L33" i="14"/>
  <c r="M140" i="14"/>
  <c r="M153" i="14"/>
  <c r="M142" i="14"/>
  <c r="M156" i="14"/>
  <c r="M148" i="14"/>
  <c r="I103" i="14"/>
  <c r="G138" i="14"/>
  <c r="N107" i="14"/>
  <c r="N173" i="14" s="1"/>
  <c r="N171" i="14"/>
  <c r="O104" i="14"/>
  <c r="I113" i="14"/>
  <c r="I131" i="14"/>
  <c r="F338" i="14" a="1"/>
  <c r="L322" i="14"/>
  <c r="M322" i="14" s="1"/>
  <c r="N322" i="14" s="1"/>
  <c r="O322" i="14" s="1"/>
  <c r="M34" i="14"/>
  <c r="L201" i="14"/>
  <c r="K212" i="14"/>
  <c r="K213" i="14" s="1"/>
  <c r="K145" i="14"/>
  <c r="L199" i="14"/>
  <c r="I130" i="14"/>
  <c r="K106" i="14"/>
  <c r="K108" i="14" s="1"/>
  <c r="K172" i="14"/>
  <c r="M127" i="14"/>
  <c r="L105" i="14"/>
  <c r="K202" i="14"/>
  <c r="I113" i="13"/>
  <c r="I131" i="13"/>
  <c r="L322" i="13"/>
  <c r="M322" i="13" s="1"/>
  <c r="N322" i="13" s="1"/>
  <c r="O322" i="13" s="1"/>
  <c r="M259" i="13"/>
  <c r="N251" i="13"/>
  <c r="L171" i="13"/>
  <c r="M104" i="13"/>
  <c r="L107" i="13"/>
  <c r="L173" i="13" s="1"/>
  <c r="L105" i="13"/>
  <c r="L172" i="13" s="1"/>
  <c r="L117" i="13"/>
  <c r="L194" i="13" s="1"/>
  <c r="M133" i="13"/>
  <c r="L34" i="13"/>
  <c r="K116" i="13"/>
  <c r="K118" i="13" s="1"/>
  <c r="K120" i="13" s="1"/>
  <c r="H113" i="13"/>
  <c r="H131" i="13"/>
  <c r="K145" i="13"/>
  <c r="M69" i="13"/>
  <c r="M192" i="13"/>
  <c r="M225" i="13"/>
  <c r="N103" i="13"/>
  <c r="M58" i="13"/>
  <c r="M138" i="13"/>
  <c r="M9" i="13"/>
  <c r="M250" i="13"/>
  <c r="M33" i="13"/>
  <c r="M300" i="13"/>
  <c r="K151" i="13"/>
  <c r="K152" i="13"/>
  <c r="K204" i="13" s="1"/>
  <c r="K141" i="13"/>
  <c r="K143" i="13" s="1"/>
  <c r="M132" i="13"/>
  <c r="L123" i="13"/>
  <c r="L212" i="13" s="1"/>
  <c r="L213" i="13" s="1"/>
  <c r="L322" i="12"/>
  <c r="M322" i="12" s="1"/>
  <c r="N322" i="12" s="1"/>
  <c r="O322" i="12" s="1"/>
  <c r="L171" i="12"/>
  <c r="L105" i="12"/>
  <c r="L172" i="12" s="1"/>
  <c r="M104" i="12"/>
  <c r="L107" i="12"/>
  <c r="L173" i="12" s="1"/>
  <c r="M133" i="12"/>
  <c r="L117" i="12"/>
  <c r="L194" i="12" s="1"/>
  <c r="H113" i="12"/>
  <c r="H131" i="12"/>
  <c r="K199" i="12"/>
  <c r="K202" i="12"/>
  <c r="J113" i="12"/>
  <c r="J131" i="12"/>
  <c r="N259" i="12"/>
  <c r="N273" i="12"/>
  <c r="O251" i="12"/>
  <c r="J130" i="12"/>
  <c r="J129" i="12"/>
  <c r="E19" i="12"/>
  <c r="E21" i="12" s="1"/>
  <c r="M34" i="12"/>
  <c r="K145" i="12"/>
  <c r="K212" i="12"/>
  <c r="K213" i="12" s="1"/>
  <c r="M225" i="12"/>
  <c r="M33" i="12"/>
  <c r="M250" i="12"/>
  <c r="M69" i="12"/>
  <c r="N103" i="12"/>
  <c r="M58" i="12"/>
  <c r="M138" i="12"/>
  <c r="M9" i="12"/>
  <c r="M300" i="12"/>
  <c r="M192" i="12"/>
  <c r="M132" i="12"/>
  <c r="L123" i="12"/>
  <c r="L212" i="12" s="1"/>
  <c r="L213" i="12" s="1"/>
  <c r="K105" i="12"/>
  <c r="I113" i="12"/>
  <c r="I131" i="12"/>
  <c r="I130" i="12"/>
  <c r="I129" i="12"/>
  <c r="I113" i="11"/>
  <c r="I131" i="11"/>
  <c r="O133" i="11"/>
  <c r="K212" i="11"/>
  <c r="K213" i="11" s="1"/>
  <c r="K145" i="11"/>
  <c r="J130" i="11"/>
  <c r="J129" i="11"/>
  <c r="E19" i="11"/>
  <c r="E21" i="11" s="1"/>
  <c r="M132" i="11"/>
  <c r="L123" i="11"/>
  <c r="L212" i="11" s="1"/>
  <c r="L213" i="11" s="1"/>
  <c r="L140" i="11"/>
  <c r="L153" i="11"/>
  <c r="L142" i="11"/>
  <c r="L156" i="11"/>
  <c r="L148" i="11"/>
  <c r="L322" i="11"/>
  <c r="M322" i="11" s="1"/>
  <c r="N322" i="11" s="1"/>
  <c r="O322" i="11" s="1"/>
  <c r="N104" i="11"/>
  <c r="M107" i="11"/>
  <c r="M173" i="11" s="1"/>
  <c r="M171" i="11"/>
  <c r="M105" i="11"/>
  <c r="M172" i="11" s="1"/>
  <c r="N284" i="11"/>
  <c r="N259" i="11"/>
  <c r="N273" i="11"/>
  <c r="O251" i="11"/>
  <c r="M69" i="11"/>
  <c r="M250" i="11"/>
  <c r="M225" i="11"/>
  <c r="N103" i="11"/>
  <c r="M58" i="11"/>
  <c r="M138" i="11"/>
  <c r="M192" i="11"/>
  <c r="M9" i="11"/>
  <c r="M33" i="11"/>
  <c r="M300" i="11"/>
  <c r="K140" i="11"/>
  <c r="K153" i="11"/>
  <c r="K205" i="11" s="1"/>
  <c r="K142" i="11"/>
  <c r="K156" i="11"/>
  <c r="K206" i="11" s="1"/>
  <c r="K148" i="11"/>
  <c r="M117" i="11"/>
  <c r="M194" i="11" s="1"/>
  <c r="K172" i="11"/>
  <c r="K106" i="11"/>
  <c r="K108" i="11" s="1"/>
  <c r="M34" i="11"/>
  <c r="H113" i="11"/>
  <c r="H131" i="11"/>
  <c r="L117" i="10"/>
  <c r="L194" i="10" s="1"/>
  <c r="M133" i="10"/>
  <c r="K145" i="10"/>
  <c r="K212" i="10"/>
  <c r="K213" i="10" s="1"/>
  <c r="M132" i="10"/>
  <c r="L123" i="10"/>
  <c r="L212" i="10" s="1"/>
  <c r="L213" i="10" s="1"/>
  <c r="F338" i="10" a="1"/>
  <c r="L107" i="10"/>
  <c r="L173" i="10" s="1"/>
  <c r="L171" i="10"/>
  <c r="L105" i="10"/>
  <c r="L172" i="10" s="1"/>
  <c r="M104" i="10"/>
  <c r="M34" i="10"/>
  <c r="K152" i="10"/>
  <c r="K204" i="10" s="1"/>
  <c r="K141" i="10"/>
  <c r="K151" i="10"/>
  <c r="N284" i="10"/>
  <c r="N259" i="10"/>
  <c r="N273" i="10"/>
  <c r="O251" i="10"/>
  <c r="H116" i="10"/>
  <c r="H118" i="10" s="1"/>
  <c r="H120" i="10" s="1"/>
  <c r="H111" i="10"/>
  <c r="K142" i="10"/>
  <c r="K156" i="10"/>
  <c r="K206" i="10" s="1"/>
  <c r="K148" i="10"/>
  <c r="K140" i="10"/>
  <c r="K153" i="10"/>
  <c r="K205" i="10" s="1"/>
  <c r="K106" i="10"/>
  <c r="K108" i="10" s="1"/>
  <c r="N77" i="29" l="1"/>
  <c r="O206" i="29"/>
  <c r="O210" i="29" s="1"/>
  <c r="O76" i="29" s="1"/>
  <c r="O157" i="29"/>
  <c r="M132" i="29"/>
  <c r="M64" i="29"/>
  <c r="M326" i="29"/>
  <c r="M328" i="29" s="1"/>
  <c r="M133" i="29"/>
  <c r="K235" i="29"/>
  <c r="K219" i="29"/>
  <c r="N123" i="29"/>
  <c r="J343" i="29"/>
  <c r="O332" i="29"/>
  <c r="N332" i="29"/>
  <c r="M332" i="29"/>
  <c r="J345" i="29"/>
  <c r="L332" i="29"/>
  <c r="E55" i="29"/>
  <c r="E56" i="29" s="1"/>
  <c r="K332" i="29"/>
  <c r="J342" i="29"/>
  <c r="J344" i="29"/>
  <c r="H168" i="29"/>
  <c r="J168" i="29" s="1"/>
  <c r="J341" i="29"/>
  <c r="F56" i="29"/>
  <c r="K65" i="29"/>
  <c r="L65" i="29"/>
  <c r="O77" i="29"/>
  <c r="O84" i="29"/>
  <c r="F341" i="29" a="1"/>
  <c r="K150" i="29"/>
  <c r="O119" i="29"/>
  <c r="O121" i="29" s="1"/>
  <c r="M37" i="29"/>
  <c r="L41" i="29"/>
  <c r="K232" i="28"/>
  <c r="K216" i="28"/>
  <c r="K62" i="28"/>
  <c r="N61" i="28"/>
  <c r="N130" i="28"/>
  <c r="N129" i="28"/>
  <c r="N323" i="28"/>
  <c r="N325" i="28" s="1"/>
  <c r="O203" i="28"/>
  <c r="O207" i="28" s="1"/>
  <c r="O73" i="28" s="1"/>
  <c r="O154" i="28"/>
  <c r="N207" i="28"/>
  <c r="N73" i="28" s="1"/>
  <c r="K147" i="28"/>
  <c r="L40" i="28"/>
  <c r="L195" i="28" s="1"/>
  <c r="M35" i="28"/>
  <c r="L39" i="28"/>
  <c r="O81" i="28"/>
  <c r="L62" i="28"/>
  <c r="O116" i="28"/>
  <c r="O118" i="28" s="1"/>
  <c r="F340" i="28"/>
  <c r="F339" i="28"/>
  <c r="F338" i="28"/>
  <c r="F341" i="28"/>
  <c r="F342" i="28"/>
  <c r="J94" i="28"/>
  <c r="J93" i="28"/>
  <c r="O329" i="28"/>
  <c r="N329" i="28"/>
  <c r="M329" i="28"/>
  <c r="K329" i="28"/>
  <c r="J338" i="28"/>
  <c r="J342" i="28"/>
  <c r="E52" i="28"/>
  <c r="E53" i="28" s="1"/>
  <c r="H165" i="28"/>
  <c r="J165" i="28" s="1"/>
  <c r="J341" i="28"/>
  <c r="J340" i="28"/>
  <c r="J339" i="28"/>
  <c r="L329" i="28"/>
  <c r="F53" i="28"/>
  <c r="G52" i="28" s="1"/>
  <c r="O74" i="28"/>
  <c r="M129" i="28"/>
  <c r="M61" i="28"/>
  <c r="M130" i="28"/>
  <c r="M323" i="28"/>
  <c r="M325" i="28" s="1"/>
  <c r="N210" i="26"/>
  <c r="N76" i="26" s="1"/>
  <c r="M56" i="26"/>
  <c r="F55" i="26" s="1"/>
  <c r="L37" i="26"/>
  <c r="K41" i="26"/>
  <c r="K42" i="26" s="1"/>
  <c r="K198" i="26" s="1"/>
  <c r="N77" i="26"/>
  <c r="K271" i="26"/>
  <c r="K230" i="26" s="1"/>
  <c r="K231" i="26" s="1"/>
  <c r="O84" i="26"/>
  <c r="L132" i="26"/>
  <c r="L64" i="26"/>
  <c r="L326" i="26"/>
  <c r="L328" i="26" s="1"/>
  <c r="L133" i="26"/>
  <c r="M132" i="26"/>
  <c r="M64" i="26"/>
  <c r="M326" i="26"/>
  <c r="M328" i="26" s="1"/>
  <c r="M133" i="26"/>
  <c r="O119" i="26"/>
  <c r="O121" i="26" s="1"/>
  <c r="N123" i="26"/>
  <c r="O206" i="26"/>
  <c r="O210" i="26" s="1"/>
  <c r="O76" i="26" s="1"/>
  <c r="O157" i="26"/>
  <c r="O77" i="26"/>
  <c r="J89" i="26"/>
  <c r="J91" i="26" s="1"/>
  <c r="L210" i="26"/>
  <c r="L76" i="26" s="1"/>
  <c r="F341" i="26" a="1"/>
  <c r="O212" i="24"/>
  <c r="O213" i="24" s="1"/>
  <c r="M207" i="24"/>
  <c r="M73" i="24" s="1"/>
  <c r="L35" i="24"/>
  <c r="K39" i="24"/>
  <c r="J340" i="24"/>
  <c r="O329" i="24"/>
  <c r="N329" i="24"/>
  <c r="E52" i="24"/>
  <c r="E53" i="24" s="1"/>
  <c r="M329" i="24"/>
  <c r="J342" i="24"/>
  <c r="L329" i="24"/>
  <c r="K329" i="24"/>
  <c r="J339" i="24"/>
  <c r="J341" i="24"/>
  <c r="H165" i="24"/>
  <c r="J165" i="24" s="1"/>
  <c r="J338" i="24"/>
  <c r="F53" i="24"/>
  <c r="M120" i="24"/>
  <c r="N116" i="24"/>
  <c r="N118" i="24" s="1"/>
  <c r="N154" i="24"/>
  <c r="N203" i="24"/>
  <c r="N207" i="24"/>
  <c r="N73" i="24" s="1"/>
  <c r="J86" i="24"/>
  <c r="J88" i="24" s="1"/>
  <c r="K268" i="24"/>
  <c r="K227" i="24" s="1"/>
  <c r="K228" i="24" s="1"/>
  <c r="O156" i="24"/>
  <c r="O206" i="24" s="1"/>
  <c r="O148" i="24"/>
  <c r="O202" i="24" s="1"/>
  <c r="O140" i="24"/>
  <c r="O199" i="24" s="1"/>
  <c r="O153" i="24"/>
  <c r="O205" i="24" s="1"/>
  <c r="O142" i="24"/>
  <c r="O201" i="24" s="1"/>
  <c r="N74" i="24"/>
  <c r="F338" i="24" a="1"/>
  <c r="O152" i="24"/>
  <c r="O204" i="24" s="1"/>
  <c r="O141" i="24"/>
  <c r="O200" i="24" s="1"/>
  <c r="O151" i="24"/>
  <c r="L129" i="24"/>
  <c r="L61" i="24"/>
  <c r="L130" i="24"/>
  <c r="L323" i="24"/>
  <c r="L325" i="24" s="1"/>
  <c r="O106" i="24"/>
  <c r="O108" i="24" s="1"/>
  <c r="K40" i="24"/>
  <c r="K195" i="24" s="1"/>
  <c r="O145" i="24"/>
  <c r="O74" i="24"/>
  <c r="L35" i="23"/>
  <c r="K39" i="23"/>
  <c r="N154" i="23"/>
  <c r="N203" i="23"/>
  <c r="O145" i="23"/>
  <c r="O212" i="23"/>
  <c r="O213" i="23" s="1"/>
  <c r="M207" i="23"/>
  <c r="M73" i="23" s="1"/>
  <c r="K40" i="23"/>
  <c r="K195" i="23" s="1"/>
  <c r="N74" i="23"/>
  <c r="O152" i="23"/>
  <c r="O204" i="23" s="1"/>
  <c r="O141" i="23"/>
  <c r="O200" i="23" s="1"/>
  <c r="O151" i="23"/>
  <c r="O106" i="23"/>
  <c r="O108" i="23" s="1"/>
  <c r="O156" i="23"/>
  <c r="O206" i="23" s="1"/>
  <c r="O148" i="23"/>
  <c r="O140" i="23"/>
  <c r="O199" i="23" s="1"/>
  <c r="O153" i="23"/>
  <c r="O205" i="23" s="1"/>
  <c r="O142" i="23"/>
  <c r="O201" i="23" s="1"/>
  <c r="L62" i="23"/>
  <c r="O202" i="23"/>
  <c r="F338" i="23" a="1"/>
  <c r="J86" i="23"/>
  <c r="J88" i="23" s="1"/>
  <c r="M62" i="23"/>
  <c r="N116" i="23"/>
  <c r="N118" i="23" s="1"/>
  <c r="N200" i="23"/>
  <c r="M53" i="23"/>
  <c r="F52" i="23" s="1"/>
  <c r="K268" i="23"/>
  <c r="K227" i="23" s="1"/>
  <c r="K228" i="23" s="1"/>
  <c r="N202" i="23"/>
  <c r="O154" i="22"/>
  <c r="O203" i="22"/>
  <c r="J340" i="22"/>
  <c r="E52" i="22"/>
  <c r="E53" i="22" s="1"/>
  <c r="O329" i="22"/>
  <c r="M329" i="22"/>
  <c r="J342" i="22"/>
  <c r="L329" i="22"/>
  <c r="N329" i="22"/>
  <c r="K329" i="22"/>
  <c r="G52" i="22"/>
  <c r="J339" i="22"/>
  <c r="J341" i="22"/>
  <c r="H165" i="22"/>
  <c r="J165" i="22" s="1"/>
  <c r="J338" i="22"/>
  <c r="F53" i="22"/>
  <c r="O207" i="22"/>
  <c r="K268" i="22"/>
  <c r="K227" i="22" s="1"/>
  <c r="K228" i="22" s="1"/>
  <c r="F338" i="22" a="1"/>
  <c r="K40" i="22"/>
  <c r="K195" i="22" s="1"/>
  <c r="L35" i="22"/>
  <c r="K39" i="22"/>
  <c r="J166" i="22"/>
  <c r="J168" i="22" s="1"/>
  <c r="O116" i="22"/>
  <c r="O118" i="22" s="1"/>
  <c r="O120" i="22" s="1"/>
  <c r="N130" i="22"/>
  <c r="N323" i="22"/>
  <c r="N325" i="22" s="1"/>
  <c r="N129" i="22"/>
  <c r="I113" i="10"/>
  <c r="I131" i="10"/>
  <c r="M138" i="10"/>
  <c r="M33" i="10"/>
  <c r="M69" i="10"/>
  <c r="M192" i="10"/>
  <c r="M9" i="10"/>
  <c r="M58" i="10"/>
  <c r="N103" i="10"/>
  <c r="M225" i="10"/>
  <c r="M300" i="10"/>
  <c r="M250" i="10"/>
  <c r="J129" i="10"/>
  <c r="E19" i="10"/>
  <c r="E21" i="10" s="1"/>
  <c r="J130" i="10"/>
  <c r="J113" i="10"/>
  <c r="J131" i="10"/>
  <c r="H103" i="10"/>
  <c r="E138" i="10" s="1"/>
  <c r="F138" i="10"/>
  <c r="L106" i="11"/>
  <c r="L108" i="11" s="1"/>
  <c r="L116" i="11" s="1"/>
  <c r="L118" i="11" s="1"/>
  <c r="L120" i="11" s="1"/>
  <c r="L206" i="11"/>
  <c r="L205" i="11"/>
  <c r="L141" i="11"/>
  <c r="L152" i="11"/>
  <c r="L106" i="12"/>
  <c r="L108" i="12" s="1"/>
  <c r="L116" i="12" s="1"/>
  <c r="L118" i="12" s="1"/>
  <c r="L120" i="12" s="1"/>
  <c r="L145" i="12"/>
  <c r="J113" i="13"/>
  <c r="J131" i="13"/>
  <c r="J129" i="13"/>
  <c r="E19" i="13"/>
  <c r="E21" i="13" s="1"/>
  <c r="J130" i="13"/>
  <c r="M206" i="14"/>
  <c r="M205" i="14"/>
  <c r="L145" i="14"/>
  <c r="M145" i="14" s="1"/>
  <c r="L106" i="16"/>
  <c r="J131" i="17"/>
  <c r="J113" i="17"/>
  <c r="E19" i="17"/>
  <c r="E21" i="17" s="1"/>
  <c r="J130" i="17"/>
  <c r="J129" i="17"/>
  <c r="F338" i="18" a="1"/>
  <c r="M9" i="21"/>
  <c r="M225" i="21"/>
  <c r="M33" i="21"/>
  <c r="M69" i="21"/>
  <c r="M250" i="21"/>
  <c r="M138" i="21"/>
  <c r="M300" i="21"/>
  <c r="N103" i="21"/>
  <c r="M58" i="21"/>
  <c r="M192" i="21"/>
  <c r="N163" i="21"/>
  <c r="O158" i="21"/>
  <c r="O163" i="21" s="1"/>
  <c r="F338" i="21" a="1"/>
  <c r="K130" i="21"/>
  <c r="J130" i="21"/>
  <c r="J129" i="21"/>
  <c r="J113" i="21"/>
  <c r="J131" i="21"/>
  <c r="H113" i="21"/>
  <c r="H131" i="21"/>
  <c r="I113" i="21"/>
  <c r="I131" i="21"/>
  <c r="I130" i="21"/>
  <c r="I129" i="21"/>
  <c r="H129" i="20"/>
  <c r="I130" i="20"/>
  <c r="K130" i="20"/>
  <c r="J130" i="20"/>
  <c r="J129" i="20"/>
  <c r="E19" i="20"/>
  <c r="E21" i="20" s="1"/>
  <c r="J113" i="20"/>
  <c r="J131" i="20"/>
  <c r="H113" i="20"/>
  <c r="H131" i="20"/>
  <c r="N163" i="20"/>
  <c r="O158" i="20"/>
  <c r="O163" i="20" s="1"/>
  <c r="M9" i="20"/>
  <c r="M225" i="20"/>
  <c r="M33" i="20"/>
  <c r="M69" i="20"/>
  <c r="M250" i="20"/>
  <c r="M138" i="20"/>
  <c r="N103" i="20"/>
  <c r="M192" i="20"/>
  <c r="M300" i="20"/>
  <c r="M58" i="20"/>
  <c r="F338" i="20" a="1"/>
  <c r="K130" i="19"/>
  <c r="K129" i="19"/>
  <c r="O133" i="19"/>
  <c r="N163" i="19"/>
  <c r="O158" i="19"/>
  <c r="O163" i="19" s="1"/>
  <c r="F342" i="19"/>
  <c r="F341" i="19"/>
  <c r="F340" i="19"/>
  <c r="F339" i="19"/>
  <c r="F338" i="19"/>
  <c r="H103" i="19"/>
  <c r="E138" i="19" s="1"/>
  <c r="F138" i="19"/>
  <c r="N34" i="19"/>
  <c r="M48" i="19"/>
  <c r="E27" i="19"/>
  <c r="E29" i="19" s="1"/>
  <c r="J37" i="19"/>
  <c r="J36" i="19"/>
  <c r="N103" i="19"/>
  <c r="M58" i="19"/>
  <c r="M225" i="19"/>
  <c r="M9" i="19"/>
  <c r="M33" i="19"/>
  <c r="M250" i="19"/>
  <c r="M138" i="19"/>
  <c r="M69" i="19"/>
  <c r="M192" i="19"/>
  <c r="M300" i="19"/>
  <c r="J35" i="19"/>
  <c r="N132" i="19"/>
  <c r="M158" i="18"/>
  <c r="N132" i="18"/>
  <c r="M123" i="18"/>
  <c r="L116" i="18"/>
  <c r="L118" i="18" s="1"/>
  <c r="L120" i="18" s="1"/>
  <c r="L111" i="18"/>
  <c r="H103" i="18"/>
  <c r="E138" i="18" s="1"/>
  <c r="F138" i="18"/>
  <c r="M105" i="18"/>
  <c r="N104" i="18"/>
  <c r="M107" i="18"/>
  <c r="M106" i="18"/>
  <c r="M108" i="18" s="1"/>
  <c r="M187" i="18"/>
  <c r="N9" i="18"/>
  <c r="N225" i="18"/>
  <c r="N33" i="18"/>
  <c r="N138" i="18"/>
  <c r="N69" i="18"/>
  <c r="N250" i="18"/>
  <c r="O103" i="18"/>
  <c r="N58" i="18"/>
  <c r="N192" i="18"/>
  <c r="N300" i="18"/>
  <c r="J35" i="18"/>
  <c r="J36" i="18"/>
  <c r="J37" i="18"/>
  <c r="E27" i="18"/>
  <c r="E29" i="18" s="1"/>
  <c r="M48" i="18"/>
  <c r="K116" i="18"/>
  <c r="K118" i="18" s="1"/>
  <c r="K120" i="18" s="1"/>
  <c r="K111" i="18"/>
  <c r="M117" i="18"/>
  <c r="N133" i="18"/>
  <c r="F342" i="18"/>
  <c r="F341" i="18"/>
  <c r="F340" i="18"/>
  <c r="F339" i="18"/>
  <c r="F338" i="18"/>
  <c r="N34" i="18"/>
  <c r="N34" i="17"/>
  <c r="M117" i="17"/>
  <c r="N133" i="17"/>
  <c r="F342" i="17"/>
  <c r="F341" i="17"/>
  <c r="F340" i="17"/>
  <c r="F339" i="17"/>
  <c r="F338" i="17"/>
  <c r="K116" i="17"/>
  <c r="K118" i="17" s="1"/>
  <c r="K120" i="17" s="1"/>
  <c r="K111" i="17"/>
  <c r="L106" i="17"/>
  <c r="L108" i="17" s="1"/>
  <c r="M107" i="17"/>
  <c r="M105" i="17"/>
  <c r="N104" i="17"/>
  <c r="M225" i="17"/>
  <c r="N103" i="17"/>
  <c r="M58" i="17"/>
  <c r="M9" i="17"/>
  <c r="M250" i="17"/>
  <c r="M33" i="17"/>
  <c r="M138" i="17"/>
  <c r="M192" i="17"/>
  <c r="M300" i="17"/>
  <c r="M69" i="17"/>
  <c r="N132" i="17"/>
  <c r="M123" i="17"/>
  <c r="H103" i="16"/>
  <c r="E138" i="16" s="1"/>
  <c r="F138" i="16"/>
  <c r="M50" i="16"/>
  <c r="I165" i="16" s="1"/>
  <c r="E24" i="16"/>
  <c r="N132" i="16"/>
  <c r="M123" i="16"/>
  <c r="M9" i="16"/>
  <c r="M225" i="16"/>
  <c r="M33" i="16"/>
  <c r="M58" i="16"/>
  <c r="M69" i="16"/>
  <c r="M250" i="16"/>
  <c r="N103" i="16"/>
  <c r="M138" i="16"/>
  <c r="M192" i="16"/>
  <c r="M300" i="16"/>
  <c r="N34" i="16"/>
  <c r="M163" i="16"/>
  <c r="L108" i="16"/>
  <c r="K154" i="16"/>
  <c r="K116" i="16"/>
  <c r="K118" i="16" s="1"/>
  <c r="K120" i="16" s="1"/>
  <c r="M105" i="16"/>
  <c r="M172" i="16" s="1"/>
  <c r="N104" i="16"/>
  <c r="M107" i="16"/>
  <c r="M173" i="16" s="1"/>
  <c r="M171" i="16"/>
  <c r="F50" i="16"/>
  <c r="F51" i="16"/>
  <c r="F49" i="16"/>
  <c r="F48" i="16"/>
  <c r="M117" i="16"/>
  <c r="N133" i="16"/>
  <c r="L152" i="16"/>
  <c r="L141" i="16"/>
  <c r="L151" i="16"/>
  <c r="F338" i="16" a="1"/>
  <c r="L156" i="16"/>
  <c r="L148" i="16"/>
  <c r="L140" i="16"/>
  <c r="L153" i="16"/>
  <c r="L142" i="16"/>
  <c r="L145" i="16"/>
  <c r="L143" i="15"/>
  <c r="L154" i="15"/>
  <c r="O103" i="15"/>
  <c r="N58" i="15"/>
  <c r="N138" i="15"/>
  <c r="N192" i="15"/>
  <c r="N9" i="15"/>
  <c r="N250" i="15"/>
  <c r="N225" i="15"/>
  <c r="N33" i="15"/>
  <c r="N300" i="15"/>
  <c r="N69" i="15"/>
  <c r="K151" i="15"/>
  <c r="K152" i="15"/>
  <c r="K204" i="15" s="1"/>
  <c r="K141" i="15"/>
  <c r="N107" i="15"/>
  <c r="N173" i="15" s="1"/>
  <c r="N171" i="15"/>
  <c r="N105" i="15"/>
  <c r="N172" i="15" s="1"/>
  <c r="O104" i="15"/>
  <c r="L202" i="15"/>
  <c r="K202" i="15"/>
  <c r="M152" i="15"/>
  <c r="M204" i="15" s="1"/>
  <c r="M141" i="15"/>
  <c r="M151" i="15"/>
  <c r="L163" i="15"/>
  <c r="M140" i="15"/>
  <c r="M153" i="15"/>
  <c r="M205" i="15" s="1"/>
  <c r="M142" i="15"/>
  <c r="M201" i="15" s="1"/>
  <c r="M156" i="15"/>
  <c r="M206" i="15" s="1"/>
  <c r="M148" i="15"/>
  <c r="L201" i="15"/>
  <c r="K201" i="15"/>
  <c r="M106" i="15"/>
  <c r="M108" i="15" s="1"/>
  <c r="K143" i="15"/>
  <c r="L199" i="15"/>
  <c r="K199" i="15"/>
  <c r="N132" i="15"/>
  <c r="M123" i="15"/>
  <c r="M212" i="15" s="1"/>
  <c r="M213" i="15" s="1"/>
  <c r="H159" i="15"/>
  <c r="J159" i="15" s="1"/>
  <c r="E27" i="15"/>
  <c r="E29" i="15" s="1"/>
  <c r="H146" i="15" s="1"/>
  <c r="J146" i="15" s="1"/>
  <c r="M48" i="15"/>
  <c r="N34" i="15"/>
  <c r="J35" i="15"/>
  <c r="H160" i="15"/>
  <c r="J160" i="15" s="1"/>
  <c r="F342" i="15"/>
  <c r="F341" i="15"/>
  <c r="F340" i="15"/>
  <c r="F339" i="15"/>
  <c r="F338" i="15"/>
  <c r="H161" i="15"/>
  <c r="J161" i="15" s="1"/>
  <c r="J36" i="15"/>
  <c r="J37" i="15"/>
  <c r="H162" i="15"/>
  <c r="J162" i="15" s="1"/>
  <c r="L116" i="15"/>
  <c r="L118" i="15" s="1"/>
  <c r="L120" i="15" s="1"/>
  <c r="L145" i="15"/>
  <c r="K116" i="15"/>
  <c r="K118" i="15" s="1"/>
  <c r="K120" i="15" s="1"/>
  <c r="L206" i="15"/>
  <c r="N117" i="15"/>
  <c r="N194" i="15" s="1"/>
  <c r="O133" i="15"/>
  <c r="O117" i="15" s="1"/>
  <c r="O194" i="15" s="1"/>
  <c r="L205" i="15"/>
  <c r="J130" i="14"/>
  <c r="J129" i="14"/>
  <c r="E19" i="14"/>
  <c r="E21" i="14" s="1"/>
  <c r="N140" i="14"/>
  <c r="N199" i="14" s="1"/>
  <c r="N153" i="14"/>
  <c r="N205" i="14" s="1"/>
  <c r="N142" i="14"/>
  <c r="N201" i="14" s="1"/>
  <c r="N156" i="14"/>
  <c r="N206" i="14" s="1"/>
  <c r="N148" i="14"/>
  <c r="J113" i="14"/>
  <c r="J131" i="14"/>
  <c r="F342" i="14"/>
  <c r="F341" i="14"/>
  <c r="F340" i="14"/>
  <c r="F339" i="14"/>
  <c r="F338" i="14"/>
  <c r="H103" i="14"/>
  <c r="E138" i="14" s="1"/>
  <c r="F138" i="14"/>
  <c r="N117" i="14"/>
  <c r="N194" i="14" s="1"/>
  <c r="O133" i="14"/>
  <c r="O117" i="14" s="1"/>
  <c r="O194" i="14" s="1"/>
  <c r="K151" i="14"/>
  <c r="K152" i="14"/>
  <c r="K204" i="14" s="1"/>
  <c r="K141" i="14"/>
  <c r="N127" i="14"/>
  <c r="M105" i="14"/>
  <c r="O132" i="14"/>
  <c r="O123" i="14" s="1"/>
  <c r="O212" i="14" s="1"/>
  <c r="O213" i="14" s="1"/>
  <c r="N123" i="14"/>
  <c r="N212" i="14" s="1"/>
  <c r="N213" i="14" s="1"/>
  <c r="K116" i="14"/>
  <c r="K118" i="14" s="1"/>
  <c r="K120" i="14" s="1"/>
  <c r="M202" i="14"/>
  <c r="L106" i="14"/>
  <c r="L108" i="14" s="1"/>
  <c r="L172" i="14"/>
  <c r="L202" i="14"/>
  <c r="M201" i="14"/>
  <c r="M69" i="14"/>
  <c r="M250" i="14"/>
  <c r="M192" i="14"/>
  <c r="N103" i="14"/>
  <c r="M58" i="14"/>
  <c r="M138" i="14"/>
  <c r="M225" i="14"/>
  <c r="M9" i="14"/>
  <c r="M33" i="14"/>
  <c r="M300" i="14"/>
  <c r="O107" i="14"/>
  <c r="O173" i="14" s="1"/>
  <c r="O171" i="14"/>
  <c r="N34" i="14"/>
  <c r="M199" i="14"/>
  <c r="N145" i="14"/>
  <c r="O145" i="14" s="1"/>
  <c r="M34" i="13"/>
  <c r="K130" i="13"/>
  <c r="K129" i="13"/>
  <c r="M117" i="13"/>
  <c r="M194" i="13" s="1"/>
  <c r="N133" i="13"/>
  <c r="L151" i="13"/>
  <c r="L152" i="13"/>
  <c r="L204" i="13" s="1"/>
  <c r="L141" i="13"/>
  <c r="L106" i="13"/>
  <c r="L108" i="13" s="1"/>
  <c r="N132" i="13"/>
  <c r="M123" i="13"/>
  <c r="M212" i="13" s="1"/>
  <c r="M213" i="13" s="1"/>
  <c r="L145" i="13"/>
  <c r="M145" i="13" s="1"/>
  <c r="M171" i="13"/>
  <c r="N104" i="13"/>
  <c r="M107" i="13"/>
  <c r="M173" i="13" s="1"/>
  <c r="M105" i="13"/>
  <c r="M172" i="13" s="1"/>
  <c r="L140" i="13"/>
  <c r="L153" i="13"/>
  <c r="L205" i="13" s="1"/>
  <c r="L142" i="13"/>
  <c r="L156" i="13"/>
  <c r="L206" i="13" s="1"/>
  <c r="L148" i="13"/>
  <c r="K200" i="13"/>
  <c r="N259" i="13"/>
  <c r="O251" i="13"/>
  <c r="K154" i="13"/>
  <c r="K203" i="13"/>
  <c r="N225" i="13"/>
  <c r="O103" i="13"/>
  <c r="N58" i="13"/>
  <c r="N138" i="13"/>
  <c r="N69" i="13"/>
  <c r="N9" i="13"/>
  <c r="N250" i="13"/>
  <c r="N33" i="13"/>
  <c r="N300" i="13"/>
  <c r="N192" i="13"/>
  <c r="F338" i="13" a="1"/>
  <c r="F51" i="12"/>
  <c r="F50" i="12"/>
  <c r="F49" i="12"/>
  <c r="F48" i="12"/>
  <c r="M171" i="12"/>
  <c r="M105" i="12"/>
  <c r="M172" i="12" s="1"/>
  <c r="N104" i="12"/>
  <c r="M107" i="12"/>
  <c r="M173" i="12" s="1"/>
  <c r="M106" i="12"/>
  <c r="L141" i="12"/>
  <c r="L151" i="12"/>
  <c r="L152" i="12"/>
  <c r="N34" i="12"/>
  <c r="O259" i="12"/>
  <c r="O273" i="12"/>
  <c r="L148" i="12"/>
  <c r="L140" i="12"/>
  <c r="L153" i="12"/>
  <c r="L205" i="12" s="1"/>
  <c r="L142" i="12"/>
  <c r="L156" i="12"/>
  <c r="L206" i="12" s="1"/>
  <c r="K172" i="12"/>
  <c r="K106" i="12"/>
  <c r="K108" i="12" s="1"/>
  <c r="M50" i="12"/>
  <c r="I165" i="12" s="1"/>
  <c r="E24" i="12"/>
  <c r="N132" i="12"/>
  <c r="M123" i="12"/>
  <c r="M212" i="12" s="1"/>
  <c r="M213" i="12" s="1"/>
  <c r="N133" i="12"/>
  <c r="M117" i="12"/>
  <c r="M194" i="12" s="1"/>
  <c r="N33" i="12"/>
  <c r="N250" i="12"/>
  <c r="N69" i="12"/>
  <c r="O103" i="12"/>
  <c r="N58" i="12"/>
  <c r="N138" i="12"/>
  <c r="N9" i="12"/>
  <c r="N300" i="12"/>
  <c r="N192" i="12"/>
  <c r="N225" i="12"/>
  <c r="F338" i="12" a="1"/>
  <c r="M152" i="11"/>
  <c r="M204" i="11" s="1"/>
  <c r="M141" i="11"/>
  <c r="M151" i="11"/>
  <c r="F51" i="11"/>
  <c r="F50" i="11"/>
  <c r="F49" i="11"/>
  <c r="F48" i="11"/>
  <c r="M200" i="11"/>
  <c r="K116" i="11"/>
  <c r="K118" i="11" s="1"/>
  <c r="K120" i="11" s="1"/>
  <c r="M140" i="11"/>
  <c r="M153" i="11"/>
  <c r="M205" i="11" s="1"/>
  <c r="M142" i="11"/>
  <c r="M156" i="11"/>
  <c r="M206" i="11" s="1"/>
  <c r="M148" i="11"/>
  <c r="N34" i="11"/>
  <c r="N132" i="11"/>
  <c r="M123" i="11"/>
  <c r="M212" i="11" s="1"/>
  <c r="M213" i="11" s="1"/>
  <c r="M106" i="11"/>
  <c r="M108" i="11" s="1"/>
  <c r="L145" i="11"/>
  <c r="M145" i="11" s="1"/>
  <c r="L154" i="11"/>
  <c r="N250" i="11"/>
  <c r="N33" i="11"/>
  <c r="N225" i="11"/>
  <c r="O103" i="11"/>
  <c r="N58" i="11"/>
  <c r="N138" i="11"/>
  <c r="N192" i="11"/>
  <c r="N9" i="11"/>
  <c r="N300" i="11"/>
  <c r="N69" i="11"/>
  <c r="M50" i="11"/>
  <c r="I165" i="11" s="1"/>
  <c r="E24" i="11"/>
  <c r="L199" i="11"/>
  <c r="K199" i="11"/>
  <c r="N107" i="11"/>
  <c r="N173" i="11" s="1"/>
  <c r="N171" i="11"/>
  <c r="N105" i="11"/>
  <c r="N172" i="11" s="1"/>
  <c r="O104" i="11"/>
  <c r="O117" i="11"/>
  <c r="O194" i="11" s="1"/>
  <c r="N117" i="11"/>
  <c r="N194" i="11" s="1"/>
  <c r="L143" i="11"/>
  <c r="L202" i="11"/>
  <c r="K202" i="11"/>
  <c r="O284" i="11"/>
  <c r="O259" i="11"/>
  <c r="O273" i="11"/>
  <c r="K151" i="11"/>
  <c r="K152" i="11"/>
  <c r="K204" i="11" s="1"/>
  <c r="K141" i="11"/>
  <c r="K143" i="11" s="1"/>
  <c r="F338" i="11" a="1"/>
  <c r="L201" i="11"/>
  <c r="K201" i="11"/>
  <c r="L152" i="10"/>
  <c r="L204" i="10" s="1"/>
  <c r="L141" i="10"/>
  <c r="L200" i="10" s="1"/>
  <c r="L151" i="10"/>
  <c r="K116" i="10"/>
  <c r="K118" i="10" s="1"/>
  <c r="K120" i="10" s="1"/>
  <c r="L106" i="10"/>
  <c r="L108" i="10" s="1"/>
  <c r="L142" i="10"/>
  <c r="L156" i="10"/>
  <c r="L206" i="10" s="1"/>
  <c r="L148" i="10"/>
  <c r="L140" i="10"/>
  <c r="L153" i="10"/>
  <c r="L205" i="10" s="1"/>
  <c r="L202" i="10"/>
  <c r="K202" i="10"/>
  <c r="H129" i="10"/>
  <c r="I130" i="10"/>
  <c r="N132" i="10"/>
  <c r="M123" i="10"/>
  <c r="M212" i="10" s="1"/>
  <c r="M213" i="10" s="1"/>
  <c r="H113" i="10"/>
  <c r="H131" i="10"/>
  <c r="O284" i="10"/>
  <c r="O259" i="10"/>
  <c r="O273" i="10"/>
  <c r="F342" i="10"/>
  <c r="F341" i="10"/>
  <c r="F340" i="10"/>
  <c r="F339" i="10"/>
  <c r="F338" i="10"/>
  <c r="L145" i="10"/>
  <c r="M171" i="10"/>
  <c r="M107" i="10"/>
  <c r="M173" i="10" s="1"/>
  <c r="M105" i="10"/>
  <c r="M172" i="10" s="1"/>
  <c r="N104" i="10"/>
  <c r="L199" i="10"/>
  <c r="K199" i="10"/>
  <c r="K207" i="10" s="1"/>
  <c r="L201" i="10"/>
  <c r="K201" i="10"/>
  <c r="K200" i="10"/>
  <c r="M117" i="10"/>
  <c r="M194" i="10" s="1"/>
  <c r="N133" i="10"/>
  <c r="K154" i="10"/>
  <c r="K203" i="10"/>
  <c r="N34" i="10"/>
  <c r="N120" i="23" l="1"/>
  <c r="N70" i="23"/>
  <c r="N207" i="23"/>
  <c r="N73" i="23" s="1"/>
  <c r="N132" i="29"/>
  <c r="N64" i="29"/>
  <c r="N326" i="29"/>
  <c r="N328" i="29" s="1"/>
  <c r="N133" i="29"/>
  <c r="L150" i="29"/>
  <c r="N37" i="29"/>
  <c r="M41" i="29"/>
  <c r="G50" i="29"/>
  <c r="G53" i="29"/>
  <c r="G54" i="29"/>
  <c r="G51" i="29"/>
  <c r="G52" i="29"/>
  <c r="O123" i="29"/>
  <c r="J92" i="29"/>
  <c r="J93" i="29" s="1"/>
  <c r="J169" i="29"/>
  <c r="J171" i="29" s="1"/>
  <c r="L42" i="29"/>
  <c r="L198" i="29" s="1"/>
  <c r="F345" i="29"/>
  <c r="F344" i="29"/>
  <c r="F343" i="29"/>
  <c r="F342" i="29"/>
  <c r="F341" i="29"/>
  <c r="M65" i="29"/>
  <c r="G55" i="29"/>
  <c r="M62" i="28"/>
  <c r="K342" i="28"/>
  <c r="L342" i="28"/>
  <c r="M342" i="28"/>
  <c r="N342" i="28"/>
  <c r="K341" i="28"/>
  <c r="L341" i="28"/>
  <c r="M341" i="28"/>
  <c r="O341" i="28"/>
  <c r="K339" i="28"/>
  <c r="M339" i="28"/>
  <c r="N339" i="28"/>
  <c r="O339" i="28"/>
  <c r="K340" i="28"/>
  <c r="L340" i="28"/>
  <c r="N340" i="28"/>
  <c r="O340" i="28"/>
  <c r="O120" i="28"/>
  <c r="N62" i="28"/>
  <c r="J89" i="28"/>
  <c r="J90" i="28" s="1"/>
  <c r="J166" i="28"/>
  <c r="J168" i="28" s="1"/>
  <c r="L338" i="28"/>
  <c r="M338" i="28"/>
  <c r="N338" i="28"/>
  <c r="O338" i="28"/>
  <c r="L147" i="28"/>
  <c r="N35" i="28"/>
  <c r="M39" i="28"/>
  <c r="G51" i="28"/>
  <c r="G49" i="28"/>
  <c r="G50" i="28"/>
  <c r="G48" i="28"/>
  <c r="G53" i="28" s="1"/>
  <c r="J343" i="26"/>
  <c r="F56" i="26"/>
  <c r="G50" i="26" s="1"/>
  <c r="J341" i="26"/>
  <c r="H168" i="26"/>
  <c r="J168" i="26" s="1"/>
  <c r="J169" i="26" s="1"/>
  <c r="J171" i="26" s="1"/>
  <c r="J344" i="26"/>
  <c r="E55" i="26"/>
  <c r="E56" i="26" s="1"/>
  <c r="J342" i="26"/>
  <c r="K332" i="26"/>
  <c r="L332" i="26"/>
  <c r="J345" i="26"/>
  <c r="M332" i="26"/>
  <c r="N332" i="26"/>
  <c r="O332" i="26"/>
  <c r="L65" i="26"/>
  <c r="K235" i="26"/>
  <c r="K219" i="26"/>
  <c r="N132" i="26"/>
  <c r="N64" i="26"/>
  <c r="N326" i="26"/>
  <c r="N328" i="26" s="1"/>
  <c r="N133" i="26"/>
  <c r="F345" i="26"/>
  <c r="F344" i="26"/>
  <c r="F343" i="26"/>
  <c r="F342" i="26"/>
  <c r="F341" i="26"/>
  <c r="O123" i="26"/>
  <c r="M65" i="26"/>
  <c r="K150" i="26"/>
  <c r="J97" i="26"/>
  <c r="J96" i="26"/>
  <c r="M37" i="26"/>
  <c r="L41" i="26"/>
  <c r="G49" i="24"/>
  <c r="G50" i="24"/>
  <c r="G51" i="24"/>
  <c r="G48" i="24"/>
  <c r="F342" i="24"/>
  <c r="F341" i="24"/>
  <c r="F340" i="24"/>
  <c r="F339" i="24"/>
  <c r="F338" i="24"/>
  <c r="J89" i="24"/>
  <c r="J90" i="24" s="1"/>
  <c r="J94" i="24"/>
  <c r="J93" i="24"/>
  <c r="G52" i="24"/>
  <c r="O116" i="24"/>
  <c r="O118" i="24" s="1"/>
  <c r="L62" i="24"/>
  <c r="N120" i="24"/>
  <c r="J166" i="24"/>
  <c r="J168" i="24" s="1"/>
  <c r="O154" i="24"/>
  <c r="O203" i="24"/>
  <c r="O207" i="24" s="1"/>
  <c r="O73" i="24" s="1"/>
  <c r="K232" i="24"/>
  <c r="K216" i="24"/>
  <c r="K147" i="24"/>
  <c r="M129" i="24"/>
  <c r="M61" i="24"/>
  <c r="M130" i="24"/>
  <c r="M323" i="24"/>
  <c r="M325" i="24" s="1"/>
  <c r="M35" i="24"/>
  <c r="L39" i="24"/>
  <c r="O154" i="23"/>
  <c r="O203" i="23"/>
  <c r="O207" i="23" s="1"/>
  <c r="O73" i="23" s="1"/>
  <c r="J340" i="23"/>
  <c r="O329" i="23"/>
  <c r="N329" i="23"/>
  <c r="E52" i="23"/>
  <c r="E53" i="23" s="1"/>
  <c r="M329" i="23"/>
  <c r="J342" i="23"/>
  <c r="L329" i="23"/>
  <c r="K329" i="23"/>
  <c r="J339" i="23"/>
  <c r="J341" i="23"/>
  <c r="H165" i="23"/>
  <c r="J165" i="23" s="1"/>
  <c r="J338" i="23"/>
  <c r="F53" i="23"/>
  <c r="N61" i="23"/>
  <c r="N130" i="23"/>
  <c r="N323" i="23"/>
  <c r="N325" i="23" s="1"/>
  <c r="N129" i="23"/>
  <c r="O74" i="23"/>
  <c r="J94" i="23"/>
  <c r="J93" i="23"/>
  <c r="K232" i="23"/>
  <c r="K216" i="23"/>
  <c r="K147" i="23"/>
  <c r="M35" i="23"/>
  <c r="L39" i="23"/>
  <c r="F342" i="23"/>
  <c r="F341" i="23"/>
  <c r="F340" i="23"/>
  <c r="F339" i="23"/>
  <c r="F338" i="23"/>
  <c r="O116" i="23"/>
  <c r="O118" i="23" s="1"/>
  <c r="F342" i="22"/>
  <c r="F341" i="22"/>
  <c r="F340" i="22"/>
  <c r="F339" i="22"/>
  <c r="F338" i="22"/>
  <c r="O130" i="22"/>
  <c r="O323" i="22"/>
  <c r="O325" i="22" s="1"/>
  <c r="O129" i="22"/>
  <c r="K232" i="22"/>
  <c r="K216" i="22"/>
  <c r="K147" i="22"/>
  <c r="M35" i="22"/>
  <c r="L39" i="22"/>
  <c r="G48" i="22"/>
  <c r="G49" i="22"/>
  <c r="G51" i="22"/>
  <c r="G50" i="22"/>
  <c r="E24" i="10"/>
  <c r="M50" i="10"/>
  <c r="I165" i="10" s="1"/>
  <c r="F49" i="10"/>
  <c r="F48" i="10"/>
  <c r="H159" i="10" s="1"/>
  <c r="J159" i="10" s="1"/>
  <c r="F50" i="10"/>
  <c r="F51" i="10"/>
  <c r="N138" i="10"/>
  <c r="N33" i="10"/>
  <c r="N69" i="10"/>
  <c r="N9" i="10"/>
  <c r="N58" i="10"/>
  <c r="O103" i="10"/>
  <c r="N250" i="10"/>
  <c r="N225" i="10"/>
  <c r="N192" i="10"/>
  <c r="N300" i="10"/>
  <c r="M108" i="12"/>
  <c r="F48" i="13"/>
  <c r="H159" i="13" s="1"/>
  <c r="J159" i="13" s="1"/>
  <c r="K254" i="13" s="1"/>
  <c r="F51" i="13"/>
  <c r="F50" i="13"/>
  <c r="F49" i="13"/>
  <c r="M50" i="13"/>
  <c r="I165" i="13" s="1"/>
  <c r="E24" i="13"/>
  <c r="M145" i="15"/>
  <c r="M106" i="16"/>
  <c r="M108" i="16" s="1"/>
  <c r="M116" i="16" s="1"/>
  <c r="M118" i="16" s="1"/>
  <c r="M120" i="16" s="1"/>
  <c r="F51" i="17"/>
  <c r="F50" i="17"/>
  <c r="F49" i="17"/>
  <c r="F48" i="17"/>
  <c r="H159" i="17" s="1"/>
  <c r="J159" i="17" s="1"/>
  <c r="E24" i="17"/>
  <c r="M50" i="17"/>
  <c r="I165" i="17" s="1"/>
  <c r="F342" i="21"/>
  <c r="F341" i="21"/>
  <c r="F340" i="21"/>
  <c r="F339" i="21"/>
  <c r="F338" i="21"/>
  <c r="N9" i="21"/>
  <c r="N225" i="21"/>
  <c r="N33" i="21"/>
  <c r="N69" i="21"/>
  <c r="N250" i="21"/>
  <c r="N138" i="21"/>
  <c r="O103" i="21"/>
  <c r="N58" i="21"/>
  <c r="N192" i="21"/>
  <c r="N300" i="21"/>
  <c r="N9" i="20"/>
  <c r="N225" i="20"/>
  <c r="N33" i="20"/>
  <c r="N69" i="20"/>
  <c r="N250" i="20"/>
  <c r="N138" i="20"/>
  <c r="O103" i="20"/>
  <c r="N58" i="20"/>
  <c r="N192" i="20"/>
  <c r="N300" i="20"/>
  <c r="F48" i="20"/>
  <c r="F51" i="20"/>
  <c r="F50" i="20"/>
  <c r="F49" i="20"/>
  <c r="F342" i="20"/>
  <c r="F341" i="20"/>
  <c r="F340" i="20"/>
  <c r="F339" i="20"/>
  <c r="F338" i="20"/>
  <c r="M50" i="20"/>
  <c r="E24" i="20"/>
  <c r="N58" i="19"/>
  <c r="N225" i="19"/>
  <c r="N9" i="19"/>
  <c r="O103" i="19"/>
  <c r="N33" i="19"/>
  <c r="N250" i="19"/>
  <c r="N138" i="19"/>
  <c r="N69" i="19"/>
  <c r="N192" i="19"/>
  <c r="N300" i="19"/>
  <c r="I36" i="19"/>
  <c r="K36" i="19" s="1"/>
  <c r="L36" i="19" s="1"/>
  <c r="M36" i="19" s="1"/>
  <c r="N36" i="19" s="1"/>
  <c r="O36" i="19" s="1"/>
  <c r="I37" i="19"/>
  <c r="K37" i="19" s="1"/>
  <c r="L37" i="19" s="1"/>
  <c r="M37" i="19" s="1"/>
  <c r="N37" i="19" s="1"/>
  <c r="O37" i="19" s="1"/>
  <c r="O132" i="19"/>
  <c r="I35" i="19"/>
  <c r="K35" i="19" s="1"/>
  <c r="J39" i="19"/>
  <c r="M49" i="19"/>
  <c r="M53" i="19" s="1"/>
  <c r="F52" i="19" s="1"/>
  <c r="O34" i="19"/>
  <c r="L130" i="19"/>
  <c r="L129" i="19"/>
  <c r="N158" i="18"/>
  <c r="O9" i="18"/>
  <c r="O225" i="18"/>
  <c r="O33" i="18"/>
  <c r="O138" i="18"/>
  <c r="O69" i="18"/>
  <c r="O250" i="18"/>
  <c r="O58" i="18"/>
  <c r="O192" i="18"/>
  <c r="O300" i="18"/>
  <c r="K112" i="18"/>
  <c r="K113" i="18" s="1"/>
  <c r="K129" i="18"/>
  <c r="K130" i="18"/>
  <c r="I37" i="18"/>
  <c r="K37" i="18" s="1"/>
  <c r="L37" i="18" s="1"/>
  <c r="M37" i="18" s="1"/>
  <c r="N37" i="18" s="1"/>
  <c r="O37" i="18" s="1"/>
  <c r="M116" i="18"/>
  <c r="M118" i="18" s="1"/>
  <c r="M120" i="18" s="1"/>
  <c r="M111" i="18"/>
  <c r="O34" i="18"/>
  <c r="N105" i="18"/>
  <c r="O104" i="18"/>
  <c r="N107" i="18"/>
  <c r="N106" i="18"/>
  <c r="N108" i="18" s="1"/>
  <c r="N187" i="18"/>
  <c r="I36" i="18"/>
  <c r="K36" i="18" s="1"/>
  <c r="L36" i="18" s="1"/>
  <c r="M36" i="18" s="1"/>
  <c r="N36" i="18" s="1"/>
  <c r="O36" i="18" s="1"/>
  <c r="L112" i="18"/>
  <c r="L113" i="18" s="1"/>
  <c r="J39" i="18"/>
  <c r="M49" i="18"/>
  <c r="I35" i="18"/>
  <c r="K35" i="18" s="1"/>
  <c r="L129" i="18"/>
  <c r="L130" i="18"/>
  <c r="N117" i="18"/>
  <c r="O133" i="18"/>
  <c r="O132" i="18"/>
  <c r="N123" i="18"/>
  <c r="N107" i="17"/>
  <c r="N105" i="17"/>
  <c r="O104" i="17"/>
  <c r="M106" i="17"/>
  <c r="M108" i="17" s="1"/>
  <c r="O133" i="17"/>
  <c r="N117" i="17"/>
  <c r="O132" i="17"/>
  <c r="N123" i="17"/>
  <c r="L116" i="17"/>
  <c r="L118" i="17" s="1"/>
  <c r="L120" i="17" s="1"/>
  <c r="L111" i="17"/>
  <c r="O34" i="17"/>
  <c r="K112" i="17"/>
  <c r="K113" i="17"/>
  <c r="K130" i="17"/>
  <c r="K129" i="17"/>
  <c r="N225" i="17"/>
  <c r="O103" i="17"/>
  <c r="N58" i="17"/>
  <c r="N9" i="17"/>
  <c r="N250" i="17"/>
  <c r="N33" i="17"/>
  <c r="N138" i="17"/>
  <c r="N192" i="17"/>
  <c r="N300" i="17"/>
  <c r="N69" i="17"/>
  <c r="K186" i="17"/>
  <c r="K187" i="17" s="1"/>
  <c r="O34" i="16"/>
  <c r="O133" i="16"/>
  <c r="N117" i="16"/>
  <c r="H159" i="16"/>
  <c r="J159" i="16" s="1"/>
  <c r="J35" i="16"/>
  <c r="H160" i="16"/>
  <c r="J160" i="16" s="1"/>
  <c r="N9" i="16"/>
  <c r="N225" i="16"/>
  <c r="N33" i="16"/>
  <c r="N69" i="16"/>
  <c r="N250" i="16"/>
  <c r="N58" i="16"/>
  <c r="N138" i="16"/>
  <c r="N192" i="16"/>
  <c r="N300" i="16"/>
  <c r="O103" i="16"/>
  <c r="H161" i="16"/>
  <c r="J161" i="16" s="1"/>
  <c r="J36" i="16"/>
  <c r="H162" i="16"/>
  <c r="J162" i="16" s="1"/>
  <c r="J37" i="16"/>
  <c r="M145" i="16"/>
  <c r="N105" i="16"/>
  <c r="N172" i="16" s="1"/>
  <c r="O104" i="16"/>
  <c r="N107" i="16"/>
  <c r="N173" i="16" s="1"/>
  <c r="N106" i="16"/>
  <c r="N171" i="16"/>
  <c r="M152" i="16"/>
  <c r="M141" i="16"/>
  <c r="M151" i="16"/>
  <c r="M156" i="16"/>
  <c r="M148" i="16"/>
  <c r="M140" i="16"/>
  <c r="M153" i="16"/>
  <c r="M142" i="16"/>
  <c r="L143" i="16"/>
  <c r="O132" i="16"/>
  <c r="N123" i="16"/>
  <c r="K130" i="16"/>
  <c r="K129" i="16"/>
  <c r="E27" i="16"/>
  <c r="E29" i="16" s="1"/>
  <c r="H146" i="16" s="1"/>
  <c r="J146" i="16" s="1"/>
  <c r="M48" i="16"/>
  <c r="F342" i="16"/>
  <c r="F341" i="16"/>
  <c r="F340" i="16"/>
  <c r="F339" i="16"/>
  <c r="F338" i="16"/>
  <c r="L154" i="16"/>
  <c r="L116" i="16"/>
  <c r="L118" i="16" s="1"/>
  <c r="L120" i="16" s="1"/>
  <c r="O163" i="16"/>
  <c r="N163" i="16"/>
  <c r="K186" i="16"/>
  <c r="K187" i="16" s="1"/>
  <c r="M116" i="15"/>
  <c r="M118" i="15" s="1"/>
  <c r="M120" i="15" s="1"/>
  <c r="L200" i="15"/>
  <c r="K200" i="15"/>
  <c r="K207" i="15" s="1"/>
  <c r="K203" i="15"/>
  <c r="K154" i="15"/>
  <c r="N202" i="15"/>
  <c r="L204" i="15"/>
  <c r="I35" i="15"/>
  <c r="K35" i="15" s="1"/>
  <c r="J39" i="15"/>
  <c r="M49" i="15"/>
  <c r="H147" i="15" s="1"/>
  <c r="J147" i="15" s="1"/>
  <c r="J149" i="15" s="1"/>
  <c r="M143" i="15"/>
  <c r="M163" i="15"/>
  <c r="K129" i="15"/>
  <c r="K130" i="15"/>
  <c r="O34" i="15"/>
  <c r="M202" i="15"/>
  <c r="M203" i="15"/>
  <c r="M154" i="15"/>
  <c r="K146" i="15"/>
  <c r="L146" i="15" s="1"/>
  <c r="M146" i="15" s="1"/>
  <c r="N146" i="15" s="1"/>
  <c r="O146" i="15" s="1"/>
  <c r="L129" i="15"/>
  <c r="L130" i="15"/>
  <c r="O58" i="15"/>
  <c r="O138" i="15"/>
  <c r="O192" i="15"/>
  <c r="O9" i="15"/>
  <c r="O250" i="15"/>
  <c r="O225" i="15"/>
  <c r="O33" i="15"/>
  <c r="O300" i="15"/>
  <c r="O69" i="15"/>
  <c r="J163" i="15"/>
  <c r="M200" i="15"/>
  <c r="O107" i="15"/>
  <c r="O173" i="15" s="1"/>
  <c r="O171" i="15"/>
  <c r="O105" i="15"/>
  <c r="O172" i="15" s="1"/>
  <c r="I37" i="15"/>
  <c r="K37" i="15" s="1"/>
  <c r="L37" i="15" s="1"/>
  <c r="M37" i="15" s="1"/>
  <c r="N37" i="15" s="1"/>
  <c r="O37" i="15" s="1"/>
  <c r="O132" i="15"/>
  <c r="O123" i="15" s="1"/>
  <c r="O212" i="15" s="1"/>
  <c r="O213" i="15" s="1"/>
  <c r="N123" i="15"/>
  <c r="N212" i="15" s="1"/>
  <c r="N213" i="15" s="1"/>
  <c r="N152" i="15"/>
  <c r="N204" i="15" s="1"/>
  <c r="N141" i="15"/>
  <c r="N151" i="15"/>
  <c r="L203" i="15"/>
  <c r="I36" i="15"/>
  <c r="K36" i="15" s="1"/>
  <c r="L36" i="15" s="1"/>
  <c r="M36" i="15" s="1"/>
  <c r="N36" i="15" s="1"/>
  <c r="O36" i="15" s="1"/>
  <c r="N153" i="15"/>
  <c r="N205" i="15" s="1"/>
  <c r="N142" i="15"/>
  <c r="N201" i="15" s="1"/>
  <c r="N156" i="15"/>
  <c r="N206" i="15" s="1"/>
  <c r="N148" i="15"/>
  <c r="N140" i="15"/>
  <c r="N199" i="15" s="1"/>
  <c r="M199" i="15"/>
  <c r="N106" i="15"/>
  <c r="N108" i="15" s="1"/>
  <c r="L186" i="15"/>
  <c r="L187" i="15" s="1"/>
  <c r="L151" i="14"/>
  <c r="L152" i="14"/>
  <c r="L204" i="14" s="1"/>
  <c r="L141" i="14"/>
  <c r="L200" i="14" s="1"/>
  <c r="O34" i="14"/>
  <c r="L116" i="14"/>
  <c r="L118" i="14" s="1"/>
  <c r="L120" i="14" s="1"/>
  <c r="K129" i="14"/>
  <c r="K130" i="14"/>
  <c r="O153" i="14"/>
  <c r="O205" i="14" s="1"/>
  <c r="O142" i="14"/>
  <c r="O201" i="14" s="1"/>
  <c r="O140" i="14"/>
  <c r="O156" i="14"/>
  <c r="O206" i="14" s="1"/>
  <c r="O148" i="14"/>
  <c r="O202" i="14" s="1"/>
  <c r="M172" i="14"/>
  <c r="M106" i="14"/>
  <c r="M108" i="14" s="1"/>
  <c r="O127" i="14"/>
  <c r="O105" i="14" s="1"/>
  <c r="N105" i="14"/>
  <c r="K200" i="14"/>
  <c r="K143" i="14"/>
  <c r="N250" i="14"/>
  <c r="N192" i="14"/>
  <c r="O103" i="14"/>
  <c r="N58" i="14"/>
  <c r="N138" i="14"/>
  <c r="N225" i="14"/>
  <c r="N9" i="14"/>
  <c r="N69" i="14"/>
  <c r="N33" i="14"/>
  <c r="N300" i="14"/>
  <c r="K154" i="14"/>
  <c r="K203" i="14"/>
  <c r="O199" i="14"/>
  <c r="N202" i="14"/>
  <c r="M50" i="14"/>
  <c r="I165" i="14" s="1"/>
  <c r="E24" i="14"/>
  <c r="F51" i="14"/>
  <c r="F50" i="14"/>
  <c r="F49" i="14"/>
  <c r="F48" i="14"/>
  <c r="M152" i="13"/>
  <c r="M204" i="13" s="1"/>
  <c r="M141" i="13"/>
  <c r="M200" i="13" s="1"/>
  <c r="M151" i="13"/>
  <c r="M106" i="13"/>
  <c r="M108" i="13" s="1"/>
  <c r="K232" i="13"/>
  <c r="N107" i="13"/>
  <c r="N173" i="13" s="1"/>
  <c r="N171" i="13"/>
  <c r="N106" i="13"/>
  <c r="N108" i="13" s="1"/>
  <c r="O104" i="13"/>
  <c r="N105" i="13"/>
  <c r="N172" i="13" s="1"/>
  <c r="M140" i="13"/>
  <c r="M153" i="13"/>
  <c r="M205" i="13" s="1"/>
  <c r="M142" i="13"/>
  <c r="M156" i="13"/>
  <c r="M206" i="13" s="1"/>
  <c r="M148" i="13"/>
  <c r="F342" i="13"/>
  <c r="F341" i="13"/>
  <c r="F340" i="13"/>
  <c r="F339" i="13"/>
  <c r="F338" i="13"/>
  <c r="K186" i="13"/>
  <c r="K187" i="13" s="1"/>
  <c r="O132" i="13"/>
  <c r="N123" i="13"/>
  <c r="N212" i="13" s="1"/>
  <c r="N213" i="13" s="1"/>
  <c r="L116" i="13"/>
  <c r="L118" i="13" s="1"/>
  <c r="L120" i="13" s="1"/>
  <c r="O259" i="13"/>
  <c r="L154" i="13"/>
  <c r="L203" i="13"/>
  <c r="N117" i="13"/>
  <c r="N194" i="13" s="1"/>
  <c r="O133" i="13"/>
  <c r="K207" i="13"/>
  <c r="L200" i="13"/>
  <c r="M202" i="13"/>
  <c r="L202" i="13"/>
  <c r="N34" i="13"/>
  <c r="O225" i="13"/>
  <c r="O58" i="13"/>
  <c r="O138" i="13"/>
  <c r="O9" i="13"/>
  <c r="O250" i="13"/>
  <c r="O33" i="13"/>
  <c r="O300" i="13"/>
  <c r="O192" i="13"/>
  <c r="O69" i="13"/>
  <c r="L201" i="13"/>
  <c r="L143" i="13"/>
  <c r="M199" i="13"/>
  <c r="L199" i="13"/>
  <c r="L202" i="12"/>
  <c r="O133" i="12"/>
  <c r="N117" i="12"/>
  <c r="N194" i="12" s="1"/>
  <c r="O34" i="12"/>
  <c r="O132" i="12"/>
  <c r="N123" i="12"/>
  <c r="N212" i="12" s="1"/>
  <c r="N213" i="12" s="1"/>
  <c r="L154" i="12"/>
  <c r="L129" i="12"/>
  <c r="E27" i="12"/>
  <c r="E29" i="12" s="1"/>
  <c r="H146" i="12" s="1"/>
  <c r="J146" i="12" s="1"/>
  <c r="M48" i="12"/>
  <c r="M116" i="12"/>
  <c r="M118" i="12" s="1"/>
  <c r="M120" i="12" s="1"/>
  <c r="F342" i="12"/>
  <c r="F341" i="12"/>
  <c r="F340" i="12"/>
  <c r="F339" i="12"/>
  <c r="F338" i="12"/>
  <c r="N105" i="12"/>
  <c r="N172" i="12" s="1"/>
  <c r="O104" i="12"/>
  <c r="N107" i="12"/>
  <c r="N173" i="12" s="1"/>
  <c r="N171" i="12"/>
  <c r="M141" i="12"/>
  <c r="M200" i="12" s="1"/>
  <c r="M151" i="12"/>
  <c r="M152" i="12"/>
  <c r="M204" i="12" s="1"/>
  <c r="K116" i="12"/>
  <c r="K118" i="12" s="1"/>
  <c r="K120" i="12" s="1"/>
  <c r="M140" i="12"/>
  <c r="M153" i="12"/>
  <c r="M205" i="12" s="1"/>
  <c r="M142" i="12"/>
  <c r="M156" i="12"/>
  <c r="M206" i="12" s="1"/>
  <c r="M148" i="12"/>
  <c r="K152" i="12"/>
  <c r="K204" i="12" s="1"/>
  <c r="K141" i="12"/>
  <c r="K151" i="12"/>
  <c r="L203" i="12" s="1"/>
  <c r="H159" i="12"/>
  <c r="J159" i="12" s="1"/>
  <c r="J35" i="12"/>
  <c r="H160" i="12"/>
  <c r="J160" i="12" s="1"/>
  <c r="K267" i="12" s="1"/>
  <c r="L201" i="12"/>
  <c r="J36" i="12"/>
  <c r="H161" i="12"/>
  <c r="J161" i="12" s="1"/>
  <c r="H162" i="12"/>
  <c r="J162" i="12" s="1"/>
  <c r="J37" i="12"/>
  <c r="O33" i="12"/>
  <c r="O250" i="12"/>
  <c r="O69" i="12"/>
  <c r="O58" i="12"/>
  <c r="O138" i="12"/>
  <c r="O9" i="12"/>
  <c r="O300" i="12"/>
  <c r="O192" i="12"/>
  <c r="O225" i="12"/>
  <c r="L143" i="12"/>
  <c r="L199" i="12"/>
  <c r="M145" i="12"/>
  <c r="N145" i="12" s="1"/>
  <c r="K154" i="11"/>
  <c r="K186" i="11" s="1"/>
  <c r="K187" i="11" s="1"/>
  <c r="K203" i="11"/>
  <c r="O132" i="11"/>
  <c r="O123" i="11" s="1"/>
  <c r="O212" i="11" s="1"/>
  <c r="O213" i="11" s="1"/>
  <c r="N123" i="11"/>
  <c r="N212" i="11" s="1"/>
  <c r="N213" i="11" s="1"/>
  <c r="E27" i="11"/>
  <c r="E29" i="11" s="1"/>
  <c r="H146" i="11" s="1"/>
  <c r="J146" i="11" s="1"/>
  <c r="M48" i="11"/>
  <c r="O34" i="11"/>
  <c r="M143" i="11"/>
  <c r="M199" i="11"/>
  <c r="L186" i="11"/>
  <c r="L187" i="11" s="1"/>
  <c r="K129" i="11"/>
  <c r="K130" i="11"/>
  <c r="O250" i="11"/>
  <c r="O225" i="11"/>
  <c r="O58" i="11"/>
  <c r="O138" i="11"/>
  <c r="O192" i="11"/>
  <c r="O9" i="11"/>
  <c r="O33" i="11"/>
  <c r="O300" i="11"/>
  <c r="O69" i="11"/>
  <c r="H159" i="11"/>
  <c r="J159" i="11" s="1"/>
  <c r="L129" i="11"/>
  <c r="L130" i="11"/>
  <c r="J35" i="11"/>
  <c r="H160" i="11"/>
  <c r="J160" i="11" s="1"/>
  <c r="K267" i="11" s="1"/>
  <c r="J36" i="11"/>
  <c r="H161" i="11"/>
  <c r="J161" i="11" s="1"/>
  <c r="K278" i="11" s="1"/>
  <c r="M202" i="11"/>
  <c r="O107" i="11"/>
  <c r="O173" i="11" s="1"/>
  <c r="O171" i="11"/>
  <c r="O105" i="11"/>
  <c r="O172" i="11" s="1"/>
  <c r="J37" i="11"/>
  <c r="H162" i="11"/>
  <c r="J162" i="11" s="1"/>
  <c r="N152" i="11"/>
  <c r="N204" i="11" s="1"/>
  <c r="N141" i="11"/>
  <c r="N151" i="11"/>
  <c r="M154" i="11"/>
  <c r="M203" i="11"/>
  <c r="N140" i="11"/>
  <c r="N153" i="11"/>
  <c r="N205" i="11" s="1"/>
  <c r="N142" i="11"/>
  <c r="N156" i="11"/>
  <c r="N206" i="11" s="1"/>
  <c r="N148" i="11"/>
  <c r="N202" i="11" s="1"/>
  <c r="L203" i="11"/>
  <c r="F342" i="11"/>
  <c r="F341" i="11"/>
  <c r="F340" i="11"/>
  <c r="F339" i="11"/>
  <c r="F338" i="11"/>
  <c r="N106" i="11"/>
  <c r="N108" i="11" s="1"/>
  <c r="N145" i="11"/>
  <c r="L200" i="11"/>
  <c r="K200" i="11"/>
  <c r="M116" i="11"/>
  <c r="M118" i="11" s="1"/>
  <c r="M120" i="11" s="1"/>
  <c r="L204" i="11"/>
  <c r="K207" i="11"/>
  <c r="M201" i="11"/>
  <c r="N107" i="10"/>
  <c r="N173" i="10" s="1"/>
  <c r="N105" i="10"/>
  <c r="N172" i="10" s="1"/>
  <c r="O104" i="10"/>
  <c r="N171" i="10"/>
  <c r="N123" i="10"/>
  <c r="N212" i="10" s="1"/>
  <c r="N213" i="10" s="1"/>
  <c r="O132" i="10"/>
  <c r="O123" i="10" s="1"/>
  <c r="O212" i="10" s="1"/>
  <c r="O213" i="10" s="1"/>
  <c r="K254" i="10"/>
  <c r="M152" i="10"/>
  <c r="M204" i="10" s="1"/>
  <c r="M141" i="10"/>
  <c r="M200" i="10" s="1"/>
  <c r="M151" i="10"/>
  <c r="M106" i="10"/>
  <c r="M108" i="10" s="1"/>
  <c r="M156" i="10"/>
  <c r="M206" i="10" s="1"/>
  <c r="M148" i="10"/>
  <c r="M140" i="10"/>
  <c r="M142" i="10"/>
  <c r="M153" i="10"/>
  <c r="M205" i="10" s="1"/>
  <c r="M145" i="10"/>
  <c r="M199" i="10"/>
  <c r="N117" i="10"/>
  <c r="N194" i="10" s="1"/>
  <c r="O133" i="10"/>
  <c r="M202" i="10"/>
  <c r="M201" i="10"/>
  <c r="L116" i="10"/>
  <c r="L118" i="10" s="1"/>
  <c r="L120" i="10" s="1"/>
  <c r="K129" i="10"/>
  <c r="K130" i="10"/>
  <c r="L154" i="10"/>
  <c r="L203" i="10"/>
  <c r="L207" i="10" s="1"/>
  <c r="O34" i="10"/>
  <c r="O120" i="23" l="1"/>
  <c r="O70" i="23"/>
  <c r="O132" i="29"/>
  <c r="O64" i="29"/>
  <c r="O326" i="29"/>
  <c r="O328" i="29" s="1"/>
  <c r="O133" i="29"/>
  <c r="L341" i="29"/>
  <c r="M341" i="29"/>
  <c r="N341" i="29"/>
  <c r="O341" i="29"/>
  <c r="K342" i="29"/>
  <c r="M342" i="29"/>
  <c r="N342" i="29"/>
  <c r="O342" i="29"/>
  <c r="K343" i="29"/>
  <c r="L343" i="29"/>
  <c r="N343" i="29"/>
  <c r="O343" i="29"/>
  <c r="G56" i="29"/>
  <c r="K344" i="29"/>
  <c r="L344" i="29"/>
  <c r="M344" i="29"/>
  <c r="O344" i="29"/>
  <c r="M150" i="29"/>
  <c r="K345" i="29"/>
  <c r="L345" i="29"/>
  <c r="M345" i="29"/>
  <c r="N345" i="29"/>
  <c r="O37" i="29"/>
  <c r="O41" i="29" s="1"/>
  <c r="O150" i="29" s="1"/>
  <c r="N41" i="29"/>
  <c r="M42" i="29"/>
  <c r="M198" i="29" s="1"/>
  <c r="N65" i="29"/>
  <c r="M147" i="28"/>
  <c r="O35" i="28"/>
  <c r="O39" i="28" s="1"/>
  <c r="O147" i="28" s="1"/>
  <c r="N39" i="28"/>
  <c r="M40" i="28"/>
  <c r="M195" i="28" s="1"/>
  <c r="O61" i="28"/>
  <c r="O130" i="28"/>
  <c r="O129" i="28"/>
  <c r="O323" i="28"/>
  <c r="O325" i="28" s="1"/>
  <c r="G53" i="26"/>
  <c r="J92" i="26"/>
  <c r="J93" i="26" s="1"/>
  <c r="G51" i="26"/>
  <c r="G55" i="26"/>
  <c r="G52" i="26"/>
  <c r="G54" i="26"/>
  <c r="N65" i="26"/>
  <c r="L150" i="26"/>
  <c r="N37" i="26"/>
  <c r="M41" i="26"/>
  <c r="O132" i="26"/>
  <c r="O64" i="26"/>
  <c r="O326" i="26"/>
  <c r="O328" i="26" s="1"/>
  <c r="O133" i="26"/>
  <c r="L341" i="26"/>
  <c r="M341" i="26"/>
  <c r="N341" i="26"/>
  <c r="O341" i="26"/>
  <c r="K342" i="26"/>
  <c r="M342" i="26"/>
  <c r="N342" i="26"/>
  <c r="O342" i="26"/>
  <c r="K343" i="26"/>
  <c r="L343" i="26"/>
  <c r="N343" i="26"/>
  <c r="O343" i="26"/>
  <c r="L42" i="26"/>
  <c r="L198" i="26" s="1"/>
  <c r="K344" i="26"/>
  <c r="L344" i="26"/>
  <c r="M344" i="26"/>
  <c r="O344" i="26"/>
  <c r="K345" i="26"/>
  <c r="L345" i="26"/>
  <c r="M345" i="26"/>
  <c r="N345" i="26"/>
  <c r="N61" i="24"/>
  <c r="N130" i="24"/>
  <c r="N323" i="24"/>
  <c r="N325" i="24" s="1"/>
  <c r="N129" i="24"/>
  <c r="L338" i="24"/>
  <c r="M338" i="24"/>
  <c r="N338" i="24"/>
  <c r="O338" i="24"/>
  <c r="K339" i="24"/>
  <c r="M339" i="24"/>
  <c r="N339" i="24"/>
  <c r="O339" i="24"/>
  <c r="L147" i="24"/>
  <c r="K340" i="24"/>
  <c r="L340" i="24"/>
  <c r="N340" i="24"/>
  <c r="O340" i="24"/>
  <c r="N35" i="24"/>
  <c r="M39" i="24"/>
  <c r="M40" i="24" s="1"/>
  <c r="M195" i="24" s="1"/>
  <c r="K341" i="24"/>
  <c r="L341" i="24"/>
  <c r="M341" i="24"/>
  <c r="O341" i="24"/>
  <c r="K342" i="24"/>
  <c r="L342" i="24"/>
  <c r="M342" i="24"/>
  <c r="N342" i="24"/>
  <c r="O120" i="24"/>
  <c r="M62" i="24"/>
  <c r="G53" i="24"/>
  <c r="L40" i="24"/>
  <c r="L195" i="24" s="1"/>
  <c r="L338" i="23"/>
  <c r="M338" i="23"/>
  <c r="N338" i="23"/>
  <c r="O338" i="23"/>
  <c r="K339" i="23"/>
  <c r="M339" i="23"/>
  <c r="N339" i="23"/>
  <c r="O339" i="23"/>
  <c r="K340" i="23"/>
  <c r="L340" i="23"/>
  <c r="N340" i="23"/>
  <c r="O340" i="23"/>
  <c r="N62" i="23"/>
  <c r="K341" i="23"/>
  <c r="L341" i="23"/>
  <c r="M341" i="23"/>
  <c r="O341" i="23"/>
  <c r="G49" i="23"/>
  <c r="G50" i="23"/>
  <c r="G51" i="23"/>
  <c r="G48" i="23"/>
  <c r="K342" i="23"/>
  <c r="L342" i="23"/>
  <c r="M342" i="23"/>
  <c r="N342" i="23"/>
  <c r="L147" i="23"/>
  <c r="J89" i="23"/>
  <c r="J90" i="23" s="1"/>
  <c r="J166" i="23"/>
  <c r="J168" i="23" s="1"/>
  <c r="N35" i="23"/>
  <c r="M39" i="23"/>
  <c r="M40" i="23" s="1"/>
  <c r="M195" i="23" s="1"/>
  <c r="L40" i="23"/>
  <c r="L195" i="23" s="1"/>
  <c r="G52" i="23"/>
  <c r="O61" i="23"/>
  <c r="O130" i="23"/>
  <c r="O323" i="23"/>
  <c r="O325" i="23" s="1"/>
  <c r="O129" i="23"/>
  <c r="G53" i="22"/>
  <c r="L147" i="22"/>
  <c r="N35" i="22"/>
  <c r="M39" i="22"/>
  <c r="L338" i="22"/>
  <c r="M338" i="22"/>
  <c r="N338" i="22"/>
  <c r="O338" i="22"/>
  <c r="L40" i="22"/>
  <c r="L195" i="22" s="1"/>
  <c r="K339" i="22"/>
  <c r="M339" i="22"/>
  <c r="N339" i="22"/>
  <c r="O339" i="22"/>
  <c r="K340" i="22"/>
  <c r="L340" i="22"/>
  <c r="N340" i="22"/>
  <c r="O340" i="22"/>
  <c r="K341" i="22"/>
  <c r="L341" i="22"/>
  <c r="M341" i="22"/>
  <c r="O341" i="22"/>
  <c r="K342" i="22"/>
  <c r="L342" i="22"/>
  <c r="M342" i="22"/>
  <c r="N342" i="22"/>
  <c r="O138" i="10"/>
  <c r="O250" i="10"/>
  <c r="O58" i="10"/>
  <c r="O69" i="10"/>
  <c r="O9" i="10"/>
  <c r="O225" i="10"/>
  <c r="O192" i="10"/>
  <c r="O33" i="10"/>
  <c r="O300" i="10"/>
  <c r="O117" i="10"/>
  <c r="O194" i="10" s="1"/>
  <c r="J37" i="10"/>
  <c r="I37" i="10" s="1"/>
  <c r="K37" i="10" s="1"/>
  <c r="L37" i="10" s="1"/>
  <c r="M37" i="10" s="1"/>
  <c r="N37" i="10" s="1"/>
  <c r="O37" i="10" s="1"/>
  <c r="H162" i="10"/>
  <c r="J162" i="10" s="1"/>
  <c r="K289" i="10" s="1"/>
  <c r="J36" i="10"/>
  <c r="H161" i="10"/>
  <c r="J161" i="10" s="1"/>
  <c r="K278" i="10" s="1"/>
  <c r="J35" i="10"/>
  <c r="H160" i="10"/>
  <c r="J160" i="10" s="1"/>
  <c r="M48" i="10"/>
  <c r="E27" i="10"/>
  <c r="E29" i="10" s="1"/>
  <c r="H146" i="10" s="1"/>
  <c r="J146" i="10" s="1"/>
  <c r="K146" i="10" s="1"/>
  <c r="L146" i="10" s="1"/>
  <c r="M146" i="10" s="1"/>
  <c r="N146" i="10" s="1"/>
  <c r="O146" i="10" s="1"/>
  <c r="L207" i="11"/>
  <c r="O145" i="11"/>
  <c r="O123" i="12"/>
  <c r="O212" i="12" s="1"/>
  <c r="O213" i="12" s="1"/>
  <c r="L204" i="12"/>
  <c r="N106" i="12"/>
  <c r="N108" i="12" s="1"/>
  <c r="E27" i="13"/>
  <c r="E29" i="13" s="1"/>
  <c r="H146" i="13" s="1"/>
  <c r="J146" i="13" s="1"/>
  <c r="M48" i="13"/>
  <c r="J35" i="13"/>
  <c r="H160" i="13"/>
  <c r="J160" i="13" s="1"/>
  <c r="H161" i="13"/>
  <c r="J161" i="13" s="1"/>
  <c r="J36" i="13"/>
  <c r="I36" i="13" s="1"/>
  <c r="K36" i="13" s="1"/>
  <c r="L36" i="13" s="1"/>
  <c r="M36" i="13" s="1"/>
  <c r="N36" i="13" s="1"/>
  <c r="O36" i="13" s="1"/>
  <c r="H162" i="13"/>
  <c r="J162" i="13" s="1"/>
  <c r="J37" i="13"/>
  <c r="I37" i="13" s="1"/>
  <c r="K37" i="13" s="1"/>
  <c r="L37" i="13" s="1"/>
  <c r="M37" i="13" s="1"/>
  <c r="N37" i="13" s="1"/>
  <c r="O37" i="13" s="1"/>
  <c r="M207" i="15"/>
  <c r="L207" i="15"/>
  <c r="E27" i="17"/>
  <c r="E29" i="17" s="1"/>
  <c r="H146" i="17" s="1"/>
  <c r="J146" i="17" s="1"/>
  <c r="M48" i="17"/>
  <c r="H160" i="17"/>
  <c r="J160" i="17" s="1"/>
  <c r="J163" i="17" s="1"/>
  <c r="J35" i="17"/>
  <c r="H161" i="17"/>
  <c r="J161" i="17" s="1"/>
  <c r="J36" i="17"/>
  <c r="I36" i="17" s="1"/>
  <c r="K36" i="17" s="1"/>
  <c r="L36" i="17" s="1"/>
  <c r="M36" i="17" s="1"/>
  <c r="N36" i="17" s="1"/>
  <c r="O36" i="17" s="1"/>
  <c r="O117" i="17"/>
  <c r="H162" i="17"/>
  <c r="J162" i="17" s="1"/>
  <c r="J37" i="17"/>
  <c r="I37" i="17" s="1"/>
  <c r="K37" i="17" s="1"/>
  <c r="L37" i="17" s="1"/>
  <c r="M37" i="17" s="1"/>
  <c r="N37" i="17" s="1"/>
  <c r="O37" i="17" s="1"/>
  <c r="O123" i="18"/>
  <c r="O117" i="18"/>
  <c r="O9" i="21"/>
  <c r="O225" i="21"/>
  <c r="O33" i="21"/>
  <c r="O69" i="21"/>
  <c r="O250" i="21"/>
  <c r="O138" i="21"/>
  <c r="O58" i="21"/>
  <c r="O192" i="21"/>
  <c r="O300" i="21"/>
  <c r="O9" i="20"/>
  <c r="O225" i="20"/>
  <c r="O33" i="20"/>
  <c r="O69" i="20"/>
  <c r="O250" i="20"/>
  <c r="O138" i="20"/>
  <c r="O58" i="20"/>
  <c r="O192" i="20"/>
  <c r="O300" i="20"/>
  <c r="M48" i="20"/>
  <c r="E27" i="20"/>
  <c r="E29" i="20" s="1"/>
  <c r="E52" i="19"/>
  <c r="E53" i="19" s="1"/>
  <c r="F53" i="19"/>
  <c r="L35" i="19"/>
  <c r="K39" i="19"/>
  <c r="K40" i="19" s="1"/>
  <c r="O225" i="19"/>
  <c r="O9" i="19"/>
  <c r="O33" i="19"/>
  <c r="O58" i="19"/>
  <c r="O250" i="19"/>
  <c r="O138" i="19"/>
  <c r="O69" i="19"/>
  <c r="O192" i="19"/>
  <c r="O300" i="19"/>
  <c r="M130" i="19"/>
  <c r="M129" i="19"/>
  <c r="O158" i="18"/>
  <c r="L35" i="18"/>
  <c r="K39" i="18"/>
  <c r="K40" i="18" s="1"/>
  <c r="M112" i="18"/>
  <c r="M113" i="18" s="1"/>
  <c r="M129" i="18"/>
  <c r="M130" i="18"/>
  <c r="M53" i="18"/>
  <c r="F52" i="18" s="1"/>
  <c r="N116" i="18"/>
  <c r="N118" i="18" s="1"/>
  <c r="N120" i="18" s="1"/>
  <c r="N111" i="18"/>
  <c r="O105" i="18"/>
  <c r="O107" i="18"/>
  <c r="O106" i="18"/>
  <c r="O108" i="18" s="1"/>
  <c r="O187" i="18"/>
  <c r="O225" i="17"/>
  <c r="O58" i="17"/>
  <c r="O9" i="17"/>
  <c r="O250" i="17"/>
  <c r="O33" i="17"/>
  <c r="O138" i="17"/>
  <c r="O192" i="17"/>
  <c r="O300" i="17"/>
  <c r="O69" i="17"/>
  <c r="M116" i="17"/>
  <c r="M118" i="17" s="1"/>
  <c r="M120" i="17" s="1"/>
  <c r="M111" i="17"/>
  <c r="L186" i="17"/>
  <c r="L187" i="17" s="1"/>
  <c r="O107" i="17"/>
  <c r="O105" i="17"/>
  <c r="L112" i="17"/>
  <c r="L113" i="17"/>
  <c r="L130" i="17"/>
  <c r="L129" i="17"/>
  <c r="N106" i="17"/>
  <c r="N108" i="17" s="1"/>
  <c r="O123" i="17"/>
  <c r="M154" i="16"/>
  <c r="O225" i="16"/>
  <c r="O33" i="16"/>
  <c r="O69" i="16"/>
  <c r="O58" i="16"/>
  <c r="O250" i="16"/>
  <c r="O138" i="16"/>
  <c r="O192" i="16"/>
  <c r="O300" i="16"/>
  <c r="O9" i="16"/>
  <c r="N108" i="16"/>
  <c r="K146" i="16"/>
  <c r="O105" i="16"/>
  <c r="O172" i="16" s="1"/>
  <c r="O107" i="16"/>
  <c r="O173" i="16" s="1"/>
  <c r="O171" i="16"/>
  <c r="N152" i="16"/>
  <c r="N141" i="16"/>
  <c r="N151" i="16"/>
  <c r="N145" i="16"/>
  <c r="O123" i="16"/>
  <c r="I37" i="16"/>
  <c r="K37" i="16" s="1"/>
  <c r="L37" i="16" s="1"/>
  <c r="M37" i="16" s="1"/>
  <c r="N37" i="16" s="1"/>
  <c r="O37" i="16" s="1"/>
  <c r="J39" i="16"/>
  <c r="M49" i="16"/>
  <c r="H147" i="16" s="1"/>
  <c r="J147" i="16" s="1"/>
  <c r="J149" i="16" s="1"/>
  <c r="I35" i="16"/>
  <c r="K35" i="16" s="1"/>
  <c r="N156" i="16"/>
  <c r="N148" i="16"/>
  <c r="N140" i="16"/>
  <c r="N153" i="16"/>
  <c r="N142" i="16"/>
  <c r="J163" i="16"/>
  <c r="L186" i="16"/>
  <c r="L187" i="16" s="1"/>
  <c r="L130" i="16"/>
  <c r="L129" i="16"/>
  <c r="M130" i="16"/>
  <c r="M129" i="16"/>
  <c r="O117" i="16"/>
  <c r="M143" i="16"/>
  <c r="I36" i="16"/>
  <c r="K36" i="16" s="1"/>
  <c r="L36" i="16" s="1"/>
  <c r="M36" i="16" s="1"/>
  <c r="N36" i="16" s="1"/>
  <c r="O36" i="16" s="1"/>
  <c r="L35" i="15"/>
  <c r="K39" i="15"/>
  <c r="N163" i="15"/>
  <c r="O163" i="15"/>
  <c r="M186" i="15"/>
  <c r="M187" i="15" s="1"/>
  <c r="N203" i="15"/>
  <c r="N154" i="15"/>
  <c r="K40" i="15"/>
  <c r="N200" i="15"/>
  <c r="N207" i="15" s="1"/>
  <c r="N116" i="15"/>
  <c r="N118" i="15" s="1"/>
  <c r="N120" i="15" s="1"/>
  <c r="O152" i="15"/>
  <c r="O204" i="15" s="1"/>
  <c r="O141" i="15"/>
  <c r="O200" i="15" s="1"/>
  <c r="O151" i="15"/>
  <c r="N145" i="15"/>
  <c r="O145" i="15" s="1"/>
  <c r="O153" i="15"/>
  <c r="O205" i="15" s="1"/>
  <c r="O142" i="15"/>
  <c r="O156" i="15"/>
  <c r="O206" i="15" s="1"/>
  <c r="O148" i="15"/>
  <c r="O140" i="15"/>
  <c r="O106" i="15"/>
  <c r="O108" i="15" s="1"/>
  <c r="O199" i="15"/>
  <c r="N143" i="15"/>
  <c r="M53" i="15"/>
  <c r="F52" i="15" s="1"/>
  <c r="O202" i="15"/>
  <c r="M129" i="15"/>
  <c r="M130" i="15"/>
  <c r="O201" i="15"/>
  <c r="K186" i="15"/>
  <c r="K187" i="15" s="1"/>
  <c r="M116" i="14"/>
  <c r="M118" i="14" s="1"/>
  <c r="M120" i="14" s="1"/>
  <c r="M152" i="14"/>
  <c r="M204" i="14" s="1"/>
  <c r="M141" i="14"/>
  <c r="M151" i="14"/>
  <c r="O250" i="14"/>
  <c r="O192" i="14"/>
  <c r="O58" i="14"/>
  <c r="O138" i="14"/>
  <c r="O225" i="14"/>
  <c r="O9" i="14"/>
  <c r="O33" i="14"/>
  <c r="O300" i="14"/>
  <c r="O69" i="14"/>
  <c r="H159" i="14"/>
  <c r="J159" i="14" s="1"/>
  <c r="L129" i="14"/>
  <c r="L130" i="14"/>
  <c r="J35" i="14"/>
  <c r="H160" i="14"/>
  <c r="J160" i="14" s="1"/>
  <c r="H161" i="14"/>
  <c r="J161" i="14" s="1"/>
  <c r="J36" i="14"/>
  <c r="K186" i="14"/>
  <c r="K187" i="14" s="1"/>
  <c r="H162" i="14"/>
  <c r="J162" i="14" s="1"/>
  <c r="J37" i="14"/>
  <c r="L207" i="14"/>
  <c r="M200" i="14"/>
  <c r="L143" i="14"/>
  <c r="E27" i="14"/>
  <c r="E29" i="14" s="1"/>
  <c r="H146" i="14" s="1"/>
  <c r="J146" i="14" s="1"/>
  <c r="M48" i="14"/>
  <c r="K207" i="14"/>
  <c r="N172" i="14"/>
  <c r="N106" i="14"/>
  <c r="N108" i="14" s="1"/>
  <c r="L203" i="14"/>
  <c r="L154" i="14"/>
  <c r="O172" i="14"/>
  <c r="O106" i="14"/>
  <c r="O108" i="14" s="1"/>
  <c r="O107" i="13"/>
  <c r="O173" i="13" s="1"/>
  <c r="O105" i="13"/>
  <c r="O172" i="13" s="1"/>
  <c r="O171" i="13"/>
  <c r="O123" i="13"/>
  <c r="O212" i="13" s="1"/>
  <c r="O213" i="13" s="1"/>
  <c r="N116" i="13"/>
  <c r="N118" i="13" s="1"/>
  <c r="N120" i="13" s="1"/>
  <c r="N140" i="13"/>
  <c r="N153" i="13"/>
  <c r="N205" i="13" s="1"/>
  <c r="N142" i="13"/>
  <c r="N156" i="13"/>
  <c r="N206" i="13" s="1"/>
  <c r="N148" i="13"/>
  <c r="O34" i="13"/>
  <c r="L207" i="13"/>
  <c r="L186" i="13"/>
  <c r="L187" i="13" s="1"/>
  <c r="O117" i="13"/>
  <c r="O194" i="13" s="1"/>
  <c r="N145" i="13"/>
  <c r="N201" i="13"/>
  <c r="M201" i="13"/>
  <c r="M143" i="13"/>
  <c r="N199" i="13"/>
  <c r="M116" i="13"/>
  <c r="M118" i="13" s="1"/>
  <c r="M120" i="13" s="1"/>
  <c r="M203" i="13"/>
  <c r="M154" i="13"/>
  <c r="L129" i="13"/>
  <c r="L130" i="13"/>
  <c r="N152" i="13"/>
  <c r="N204" i="13" s="1"/>
  <c r="N141" i="13"/>
  <c r="N151" i="13"/>
  <c r="I37" i="12"/>
  <c r="K37" i="12" s="1"/>
  <c r="L37" i="12" s="1"/>
  <c r="M37" i="12" s="1"/>
  <c r="N37" i="12" s="1"/>
  <c r="O37" i="12" s="1"/>
  <c r="M130" i="12"/>
  <c r="M129" i="12"/>
  <c r="M143" i="12"/>
  <c r="K146" i="12"/>
  <c r="L146" i="12" s="1"/>
  <c r="M146" i="12" s="1"/>
  <c r="N146" i="12" s="1"/>
  <c r="O146" i="12" s="1"/>
  <c r="K130" i="12"/>
  <c r="K129" i="12"/>
  <c r="I36" i="12"/>
  <c r="K36" i="12" s="1"/>
  <c r="L36" i="12" s="1"/>
  <c r="M36" i="12" s="1"/>
  <c r="N36" i="12" s="1"/>
  <c r="O36" i="12" s="1"/>
  <c r="M154" i="12"/>
  <c r="M203" i="12"/>
  <c r="L130" i="12"/>
  <c r="M201" i="12"/>
  <c r="K268" i="12"/>
  <c r="K227" i="12" s="1"/>
  <c r="K228" i="12" s="1"/>
  <c r="K232" i="12" s="1"/>
  <c r="M199" i="12"/>
  <c r="N140" i="12"/>
  <c r="N153" i="12"/>
  <c r="N205" i="12" s="1"/>
  <c r="N142" i="12"/>
  <c r="N156" i="12"/>
  <c r="N206" i="12" s="1"/>
  <c r="N148" i="12"/>
  <c r="L186" i="12"/>
  <c r="L187" i="12" s="1"/>
  <c r="I35" i="12"/>
  <c r="K35" i="12" s="1"/>
  <c r="M49" i="12"/>
  <c r="H147" i="12" s="1"/>
  <c r="J147" i="12" s="1"/>
  <c r="J149" i="12" s="1"/>
  <c r="J39" i="12"/>
  <c r="N116" i="12"/>
  <c r="N118" i="12" s="1"/>
  <c r="N120" i="12" s="1"/>
  <c r="K254" i="12"/>
  <c r="J163" i="12"/>
  <c r="O107" i="12"/>
  <c r="O173" i="12" s="1"/>
  <c r="O171" i="12"/>
  <c r="O105" i="12"/>
  <c r="O172" i="12" s="1"/>
  <c r="N151" i="12"/>
  <c r="N152" i="12"/>
  <c r="N204" i="12" s="1"/>
  <c r="N141" i="12"/>
  <c r="K154" i="12"/>
  <c r="K203" i="12"/>
  <c r="O117" i="12"/>
  <c r="O194" i="12" s="1"/>
  <c r="L200" i="12"/>
  <c r="L207" i="12" s="1"/>
  <c r="K200" i="12"/>
  <c r="K143" i="12"/>
  <c r="M202" i="12"/>
  <c r="K268" i="11"/>
  <c r="K227" i="11" s="1"/>
  <c r="K228" i="11" s="1"/>
  <c r="K232" i="11" s="1"/>
  <c r="M207" i="11"/>
  <c r="N143" i="11"/>
  <c r="I35" i="11"/>
  <c r="K35" i="11" s="1"/>
  <c r="J39" i="11"/>
  <c r="M49" i="11"/>
  <c r="H147" i="11" s="1"/>
  <c r="J147" i="11" s="1"/>
  <c r="J149" i="11" s="1"/>
  <c r="N199" i="11"/>
  <c r="M186" i="11"/>
  <c r="M187" i="11" s="1"/>
  <c r="N201" i="11"/>
  <c r="M129" i="11"/>
  <c r="M130" i="11"/>
  <c r="N154" i="11"/>
  <c r="N203" i="11"/>
  <c r="K254" i="11"/>
  <c r="J163" i="11"/>
  <c r="N116" i="11"/>
  <c r="N118" i="11" s="1"/>
  <c r="N120" i="11" s="1"/>
  <c r="I37" i="11"/>
  <c r="K37" i="11" s="1"/>
  <c r="L37" i="11" s="1"/>
  <c r="M37" i="11" s="1"/>
  <c r="N37" i="11" s="1"/>
  <c r="O37" i="11" s="1"/>
  <c r="O152" i="11"/>
  <c r="O204" i="11" s="1"/>
  <c r="O141" i="11"/>
  <c r="O200" i="11" s="1"/>
  <c r="O151" i="11"/>
  <c r="K146" i="11"/>
  <c r="O153" i="11"/>
  <c r="O205" i="11" s="1"/>
  <c r="O142" i="11"/>
  <c r="O201" i="11" s="1"/>
  <c r="O156" i="11"/>
  <c r="O206" i="11" s="1"/>
  <c r="O148" i="11"/>
  <c r="O140" i="11"/>
  <c r="O199" i="11" s="1"/>
  <c r="O106" i="11"/>
  <c r="O108" i="11" s="1"/>
  <c r="N200" i="11"/>
  <c r="O202" i="11"/>
  <c r="I36" i="11"/>
  <c r="K36" i="11"/>
  <c r="L36" i="11" s="1"/>
  <c r="M36" i="11" s="1"/>
  <c r="N36" i="11" s="1"/>
  <c r="O36" i="11" s="1"/>
  <c r="M116" i="10"/>
  <c r="M118" i="10" s="1"/>
  <c r="M120" i="10" s="1"/>
  <c r="M154" i="10"/>
  <c r="M203" i="10"/>
  <c r="M207" i="10" s="1"/>
  <c r="L129" i="10"/>
  <c r="L130" i="10"/>
  <c r="N156" i="10"/>
  <c r="N206" i="10" s="1"/>
  <c r="N148" i="10"/>
  <c r="N202" i="10" s="1"/>
  <c r="N140" i="10"/>
  <c r="N199" i="10" s="1"/>
  <c r="N153" i="10"/>
  <c r="N205" i="10" s="1"/>
  <c r="N142" i="10"/>
  <c r="N201" i="10" s="1"/>
  <c r="O105" i="10"/>
  <c r="O172" i="10" s="1"/>
  <c r="O107" i="10"/>
  <c r="O173" i="10" s="1"/>
  <c r="O171" i="10"/>
  <c r="N152" i="10"/>
  <c r="N204" i="10" s="1"/>
  <c r="N141" i="10"/>
  <c r="N200" i="10" s="1"/>
  <c r="N151" i="10"/>
  <c r="N145" i="10"/>
  <c r="O145" i="10" s="1"/>
  <c r="N106" i="10"/>
  <c r="N108" i="10" s="1"/>
  <c r="G56" i="26" l="1"/>
  <c r="O42" i="29"/>
  <c r="O198" i="29" s="1"/>
  <c r="N150" i="29"/>
  <c r="N42" i="29"/>
  <c r="N198" i="29" s="1"/>
  <c r="O65" i="29"/>
  <c r="O62" i="28"/>
  <c r="O40" i="28"/>
  <c r="O195" i="28" s="1"/>
  <c r="N147" i="28"/>
  <c r="N40" i="28"/>
  <c r="N195" i="28" s="1"/>
  <c r="O65" i="26"/>
  <c r="M150" i="26"/>
  <c r="O37" i="26"/>
  <c r="O41" i="26" s="1"/>
  <c r="O150" i="26" s="1"/>
  <c r="N41" i="26"/>
  <c r="M42" i="26"/>
  <c r="M198" i="26" s="1"/>
  <c r="O61" i="24"/>
  <c r="O130" i="24"/>
  <c r="O323" i="24"/>
  <c r="O325" i="24" s="1"/>
  <c r="O129" i="24"/>
  <c r="M147" i="24"/>
  <c r="O35" i="24"/>
  <c r="O39" i="24" s="1"/>
  <c r="O147" i="24" s="1"/>
  <c r="N39" i="24"/>
  <c r="N40" i="24" s="1"/>
  <c r="N195" i="24" s="1"/>
  <c r="N62" i="24"/>
  <c r="O62" i="23"/>
  <c r="G53" i="23"/>
  <c r="M147" i="23"/>
  <c r="O35" i="23"/>
  <c r="O39" i="23" s="1"/>
  <c r="O147" i="23" s="1"/>
  <c r="N39" i="23"/>
  <c r="M147" i="22"/>
  <c r="O35" i="22"/>
  <c r="O39" i="22" s="1"/>
  <c r="O147" i="22" s="1"/>
  <c r="N39" i="22"/>
  <c r="M40" i="22"/>
  <c r="M195" i="22" s="1"/>
  <c r="M53" i="16"/>
  <c r="F52" i="16" s="1"/>
  <c r="K267" i="10"/>
  <c r="K268" i="10" s="1"/>
  <c r="K227" i="10" s="1"/>
  <c r="K228" i="10" s="1"/>
  <c r="K232" i="10" s="1"/>
  <c r="J163" i="10"/>
  <c r="M49" i="10"/>
  <c r="H147" i="10" s="1"/>
  <c r="J147" i="10" s="1"/>
  <c r="J149" i="10" s="1"/>
  <c r="I35" i="10"/>
  <c r="K35" i="10" s="1"/>
  <c r="J39" i="10"/>
  <c r="I36" i="10"/>
  <c r="K36" i="10" s="1"/>
  <c r="L36" i="10" s="1"/>
  <c r="M36" i="10" s="1"/>
  <c r="N36" i="10" s="1"/>
  <c r="O36" i="10" s="1"/>
  <c r="N207" i="11"/>
  <c r="M53" i="11"/>
  <c r="F52" i="11" s="1"/>
  <c r="E52" i="11" s="1"/>
  <c r="E53" i="11" s="1"/>
  <c r="M53" i="12"/>
  <c r="F52" i="12" s="1"/>
  <c r="H165" i="12" s="1"/>
  <c r="J165" i="12" s="1"/>
  <c r="O106" i="12"/>
  <c r="O108" i="12" s="1"/>
  <c r="J163" i="13"/>
  <c r="I35" i="13"/>
  <c r="K35" i="13" s="1"/>
  <c r="M49" i="13"/>
  <c r="H147" i="13" s="1"/>
  <c r="J147" i="13" s="1"/>
  <c r="J149" i="13" s="1"/>
  <c r="J39" i="13"/>
  <c r="M207" i="13"/>
  <c r="K146" i="13"/>
  <c r="L146" i="13" s="1"/>
  <c r="M146" i="13" s="1"/>
  <c r="N146" i="13" s="1"/>
  <c r="O146" i="13" s="1"/>
  <c r="I35" i="17"/>
  <c r="K35" i="17" s="1"/>
  <c r="J39" i="17"/>
  <c r="M49" i="17"/>
  <c r="M49" i="20"/>
  <c r="M53" i="20" s="1"/>
  <c r="F52" i="20" s="1"/>
  <c r="M35" i="19"/>
  <c r="L39" i="19"/>
  <c r="G49" i="19"/>
  <c r="G51" i="19"/>
  <c r="G50" i="19"/>
  <c r="G48" i="19"/>
  <c r="G52" i="19"/>
  <c r="N130" i="19"/>
  <c r="N129" i="19"/>
  <c r="O116" i="18"/>
  <c r="O118" i="18" s="1"/>
  <c r="O120" i="18" s="1"/>
  <c r="O111" i="18"/>
  <c r="N112" i="18"/>
  <c r="N113" i="18" s="1"/>
  <c r="N129" i="18"/>
  <c r="N130" i="18"/>
  <c r="E52" i="18"/>
  <c r="E53" i="18" s="1"/>
  <c r="F53" i="18"/>
  <c r="M35" i="18"/>
  <c r="L39" i="18"/>
  <c r="M112" i="17"/>
  <c r="M113" i="17" s="1"/>
  <c r="M130" i="17"/>
  <c r="M129" i="17"/>
  <c r="O106" i="17"/>
  <c r="O108" i="17" s="1"/>
  <c r="M186" i="17"/>
  <c r="M187" i="17" s="1"/>
  <c r="N116" i="17"/>
  <c r="N118" i="17" s="1"/>
  <c r="N120" i="17" s="1"/>
  <c r="N111" i="17"/>
  <c r="L35" i="16"/>
  <c r="K39" i="16"/>
  <c r="K40" i="16" s="1"/>
  <c r="O148" i="16"/>
  <c r="O140" i="16"/>
  <c r="O153" i="16"/>
  <c r="O142" i="16"/>
  <c r="O156" i="16"/>
  <c r="O106" i="16"/>
  <c r="O108" i="16" s="1"/>
  <c r="O152" i="16"/>
  <c r="O141" i="16"/>
  <c r="O151" i="16"/>
  <c r="L146" i="16"/>
  <c r="N143" i="16"/>
  <c r="N116" i="16"/>
  <c r="N118" i="16" s="1"/>
  <c r="N120" i="16" s="1"/>
  <c r="E52" i="16"/>
  <c r="E53" i="16" s="1"/>
  <c r="H165" i="16"/>
  <c r="J165" i="16" s="1"/>
  <c r="F53" i="16"/>
  <c r="M186" i="16"/>
  <c r="M187" i="16" s="1"/>
  <c r="O145" i="16"/>
  <c r="N154" i="16"/>
  <c r="O203" i="15"/>
  <c r="O154" i="15"/>
  <c r="N129" i="15"/>
  <c r="N130" i="15"/>
  <c r="K111" i="15"/>
  <c r="K195" i="15"/>
  <c r="H165" i="15"/>
  <c r="J165" i="15" s="1"/>
  <c r="E52" i="15"/>
  <c r="E53" i="15" s="1"/>
  <c r="F53" i="15"/>
  <c r="N186" i="15"/>
  <c r="N187" i="15" s="1"/>
  <c r="O207" i="15"/>
  <c r="O116" i="15"/>
  <c r="O118" i="15" s="1"/>
  <c r="O120" i="15" s="1"/>
  <c r="O143" i="15"/>
  <c r="K147" i="15"/>
  <c r="K149" i="15" s="1"/>
  <c r="M35" i="15"/>
  <c r="L39" i="15"/>
  <c r="L40" i="15" s="1"/>
  <c r="K146" i="14"/>
  <c r="J163" i="14"/>
  <c r="L186" i="14"/>
  <c r="L187" i="14" s="1"/>
  <c r="I37" i="14"/>
  <c r="K37" i="14" s="1"/>
  <c r="L37" i="14" s="1"/>
  <c r="M37" i="14" s="1"/>
  <c r="N37" i="14" s="1"/>
  <c r="O37" i="14" s="1"/>
  <c r="I36" i="14"/>
  <c r="K36" i="14" s="1"/>
  <c r="L36" i="14" s="1"/>
  <c r="M36" i="14" s="1"/>
  <c r="N36" i="14" s="1"/>
  <c r="O36" i="14" s="1"/>
  <c r="O116" i="14"/>
  <c r="O118" i="14" s="1"/>
  <c r="O120" i="14" s="1"/>
  <c r="O152" i="14"/>
  <c r="O204" i="14" s="1"/>
  <c r="O141" i="14"/>
  <c r="O143" i="14" s="1"/>
  <c r="O151" i="14"/>
  <c r="M203" i="14"/>
  <c r="M207" i="14" s="1"/>
  <c r="M154" i="14"/>
  <c r="I35" i="14"/>
  <c r="K35" i="14" s="1"/>
  <c r="M49" i="14"/>
  <c r="H147" i="14" s="1"/>
  <c r="J147" i="14" s="1"/>
  <c r="J149" i="14" s="1"/>
  <c r="J39" i="14"/>
  <c r="M143" i="14"/>
  <c r="N116" i="14"/>
  <c r="N118" i="14" s="1"/>
  <c r="N120" i="14" s="1"/>
  <c r="N152" i="14"/>
  <c r="N204" i="14" s="1"/>
  <c r="N141" i="14"/>
  <c r="N151" i="14"/>
  <c r="M129" i="14"/>
  <c r="M130" i="14"/>
  <c r="K111" i="13"/>
  <c r="M129" i="13"/>
  <c r="M130" i="13"/>
  <c r="M186" i="13"/>
  <c r="M187" i="13" s="1"/>
  <c r="N203" i="13"/>
  <c r="N154" i="13"/>
  <c r="N143" i="13"/>
  <c r="N129" i="13"/>
  <c r="N130" i="13"/>
  <c r="N200" i="13"/>
  <c r="N202" i="13"/>
  <c r="O153" i="13"/>
  <c r="O205" i="13" s="1"/>
  <c r="O142" i="13"/>
  <c r="O201" i="13" s="1"/>
  <c r="O156" i="13"/>
  <c r="O206" i="13" s="1"/>
  <c r="O140" i="13"/>
  <c r="O199" i="13" s="1"/>
  <c r="O148" i="13"/>
  <c r="O202" i="13" s="1"/>
  <c r="O145" i="13"/>
  <c r="O152" i="13"/>
  <c r="O204" i="13" s="1"/>
  <c r="O141" i="13"/>
  <c r="O200" i="13" s="1"/>
  <c r="O151" i="13"/>
  <c r="O106" i="13"/>
  <c r="O108" i="13" s="1"/>
  <c r="L35" i="12"/>
  <c r="K39" i="12"/>
  <c r="K40" i="12" s="1"/>
  <c r="N154" i="12"/>
  <c r="N203" i="12"/>
  <c r="N143" i="12"/>
  <c r="O151" i="12"/>
  <c r="O152" i="12"/>
  <c r="O204" i="12" s="1"/>
  <c r="O141" i="12"/>
  <c r="O200" i="12" s="1"/>
  <c r="M207" i="12"/>
  <c r="O140" i="12"/>
  <c r="O153" i="12"/>
  <c r="O205" i="12" s="1"/>
  <c r="O142" i="12"/>
  <c r="O201" i="12" s="1"/>
  <c r="O156" i="12"/>
  <c r="O206" i="12" s="1"/>
  <c r="O148" i="12"/>
  <c r="O202" i="12" s="1"/>
  <c r="O116" i="12"/>
  <c r="O118" i="12" s="1"/>
  <c r="O120" i="12" s="1"/>
  <c r="E52" i="12"/>
  <c r="E53" i="12" s="1"/>
  <c r="N130" i="12"/>
  <c r="N129" i="12"/>
  <c r="N199" i="12"/>
  <c r="M186" i="12"/>
  <c r="M187" i="12" s="1"/>
  <c r="N202" i="12"/>
  <c r="K186" i="12"/>
  <c r="K187" i="12" s="1"/>
  <c r="K207" i="12"/>
  <c r="O145" i="12"/>
  <c r="N200" i="12"/>
  <c r="N201" i="12"/>
  <c r="L35" i="11"/>
  <c r="K39" i="11"/>
  <c r="F53" i="11"/>
  <c r="K40" i="11"/>
  <c r="N129" i="11"/>
  <c r="N130" i="11"/>
  <c r="N186" i="11"/>
  <c r="N187" i="11" s="1"/>
  <c r="O207" i="11"/>
  <c r="O116" i="11"/>
  <c r="O118" i="11" s="1"/>
  <c r="O120" i="11" s="1"/>
  <c r="O143" i="11"/>
  <c r="L146" i="11"/>
  <c r="O154" i="11"/>
  <c r="O203" i="11"/>
  <c r="K111" i="10"/>
  <c r="N116" i="10"/>
  <c r="N118" i="10" s="1"/>
  <c r="N120" i="10" s="1"/>
  <c r="N154" i="10"/>
  <c r="N203" i="10"/>
  <c r="N207" i="10" s="1"/>
  <c r="O200" i="10"/>
  <c r="O156" i="10"/>
  <c r="O206" i="10" s="1"/>
  <c r="O148" i="10"/>
  <c r="O202" i="10" s="1"/>
  <c r="O140" i="10"/>
  <c r="O199" i="10" s="1"/>
  <c r="O153" i="10"/>
  <c r="O205" i="10" s="1"/>
  <c r="O142" i="10"/>
  <c r="O201" i="10" s="1"/>
  <c r="O152" i="10"/>
  <c r="O204" i="10" s="1"/>
  <c r="O141" i="10"/>
  <c r="O151" i="10"/>
  <c r="O106" i="10"/>
  <c r="O108" i="10" s="1"/>
  <c r="M129" i="10"/>
  <c r="M130" i="10"/>
  <c r="O42" i="26" l="1"/>
  <c r="O198" i="26" s="1"/>
  <c r="N150" i="26"/>
  <c r="N42" i="26"/>
  <c r="N198" i="26" s="1"/>
  <c r="N147" i="24"/>
  <c r="O40" i="24"/>
  <c r="O195" i="24" s="1"/>
  <c r="O62" i="24"/>
  <c r="N147" i="23"/>
  <c r="O40" i="23"/>
  <c r="O195" i="23" s="1"/>
  <c r="N40" i="23"/>
  <c r="N195" i="23" s="1"/>
  <c r="N147" i="22"/>
  <c r="O40" i="22"/>
  <c r="O195" i="22" s="1"/>
  <c r="N40" i="22"/>
  <c r="N195" i="22" s="1"/>
  <c r="F53" i="12"/>
  <c r="L35" i="10"/>
  <c r="K39" i="10"/>
  <c r="K147" i="10" s="1"/>
  <c r="M53" i="10"/>
  <c r="F52" i="10" s="1"/>
  <c r="H165" i="11"/>
  <c r="J165" i="11" s="1"/>
  <c r="J166" i="11" s="1"/>
  <c r="J168" i="11" s="1"/>
  <c r="N207" i="13"/>
  <c r="M53" i="13"/>
  <c r="F52" i="13" s="1"/>
  <c r="L35" i="13"/>
  <c r="K39" i="13"/>
  <c r="K40" i="13" s="1"/>
  <c r="K195" i="13" s="1"/>
  <c r="M53" i="14"/>
  <c r="F52" i="14" s="1"/>
  <c r="H165" i="14" s="1"/>
  <c r="J165" i="14" s="1"/>
  <c r="H147" i="17"/>
  <c r="J147" i="17" s="1"/>
  <c r="J149" i="17" s="1"/>
  <c r="M53" i="17"/>
  <c r="F52" i="17" s="1"/>
  <c r="L35" i="17"/>
  <c r="K39" i="17"/>
  <c r="K40" i="17" s="1"/>
  <c r="E52" i="20"/>
  <c r="E53" i="20" s="1"/>
  <c r="F53" i="20"/>
  <c r="G53" i="19"/>
  <c r="N35" i="19"/>
  <c r="M39" i="19"/>
  <c r="L40" i="19"/>
  <c r="O130" i="19"/>
  <c r="O129" i="19"/>
  <c r="N35" i="18"/>
  <c r="M39" i="18"/>
  <c r="L40" i="18"/>
  <c r="G49" i="18"/>
  <c r="G50" i="18"/>
  <c r="G51" i="18"/>
  <c r="G48" i="18"/>
  <c r="G52" i="18"/>
  <c r="O112" i="18"/>
  <c r="O113" i="18" s="1"/>
  <c r="O129" i="18"/>
  <c r="O130" i="18"/>
  <c r="N112" i="17"/>
  <c r="N113" i="17"/>
  <c r="N130" i="17"/>
  <c r="N129" i="17"/>
  <c r="O116" i="17"/>
  <c r="O118" i="17" s="1"/>
  <c r="O120" i="17" s="1"/>
  <c r="O111" i="17"/>
  <c r="N186" i="17"/>
  <c r="N187" i="17" s="1"/>
  <c r="N130" i="16"/>
  <c r="N129" i="16"/>
  <c r="N186" i="16"/>
  <c r="N187" i="16" s="1"/>
  <c r="M146" i="16"/>
  <c r="O154" i="16"/>
  <c r="K111" i="16"/>
  <c r="O116" i="16"/>
  <c r="O118" i="16" s="1"/>
  <c r="O120" i="16" s="1"/>
  <c r="G50" i="16"/>
  <c r="G48" i="16"/>
  <c r="G51" i="16"/>
  <c r="G49" i="16"/>
  <c r="O143" i="16"/>
  <c r="J166" i="16"/>
  <c r="J168" i="16" s="1"/>
  <c r="G52" i="16"/>
  <c r="K147" i="16"/>
  <c r="K149" i="16" s="1"/>
  <c r="M35" i="16"/>
  <c r="L39" i="16"/>
  <c r="N35" i="15"/>
  <c r="M39" i="15"/>
  <c r="M40" i="15" s="1"/>
  <c r="L111" i="15"/>
  <c r="L195" i="15"/>
  <c r="O186" i="15"/>
  <c r="O187" i="15" s="1"/>
  <c r="O129" i="15"/>
  <c r="O130" i="15"/>
  <c r="G51" i="15"/>
  <c r="G48" i="15"/>
  <c r="G49" i="15"/>
  <c r="G50" i="15"/>
  <c r="G52" i="15"/>
  <c r="J166" i="15"/>
  <c r="J168" i="15" s="1"/>
  <c r="K112" i="15"/>
  <c r="K113" i="15" s="1"/>
  <c r="L147" i="15"/>
  <c r="L149" i="15" s="1"/>
  <c r="L35" i="14"/>
  <c r="K39" i="14"/>
  <c r="K40" i="14" s="1"/>
  <c r="O154" i="14"/>
  <c r="O203" i="14"/>
  <c r="O186" i="14"/>
  <c r="O187" i="14" s="1"/>
  <c r="O129" i="14"/>
  <c r="O130" i="14"/>
  <c r="N154" i="14"/>
  <c r="N203" i="14"/>
  <c r="O200" i="14"/>
  <c r="O207" i="14" s="1"/>
  <c r="N143" i="14"/>
  <c r="N129" i="14"/>
  <c r="N130" i="14"/>
  <c r="M186" i="14"/>
  <c r="M187" i="14" s="1"/>
  <c r="N200" i="14"/>
  <c r="L146" i="14"/>
  <c r="N186" i="13"/>
  <c r="N187" i="13" s="1"/>
  <c r="O116" i="13"/>
  <c r="O118" i="13" s="1"/>
  <c r="O120" i="13" s="1"/>
  <c r="O203" i="13"/>
  <c r="O154" i="13"/>
  <c r="L111" i="13"/>
  <c r="O143" i="13"/>
  <c r="O207" i="13"/>
  <c r="K112" i="13"/>
  <c r="K113" i="13" s="1"/>
  <c r="K195" i="12"/>
  <c r="K111" i="12"/>
  <c r="O143" i="12"/>
  <c r="N207" i="12"/>
  <c r="O154" i="12"/>
  <c r="O203" i="12"/>
  <c r="G48" i="12"/>
  <c r="G49" i="12"/>
  <c r="G50" i="12"/>
  <c r="G51" i="12"/>
  <c r="O199" i="12"/>
  <c r="O207" i="12" s="1"/>
  <c r="N186" i="12"/>
  <c r="N187" i="12" s="1"/>
  <c r="G52" i="12"/>
  <c r="J166" i="12"/>
  <c r="J168" i="12" s="1"/>
  <c r="O130" i="12"/>
  <c r="O129" i="12"/>
  <c r="K147" i="12"/>
  <c r="K149" i="12" s="1"/>
  <c r="M35" i="12"/>
  <c r="L39" i="12"/>
  <c r="L40" i="12" s="1"/>
  <c r="O186" i="11"/>
  <c r="O187" i="11" s="1"/>
  <c r="O129" i="11"/>
  <c r="O130" i="11"/>
  <c r="K111" i="11"/>
  <c r="K195" i="11"/>
  <c r="G50" i="11"/>
  <c r="G51" i="11"/>
  <c r="G48" i="11"/>
  <c r="G49" i="11"/>
  <c r="G52" i="11"/>
  <c r="M146" i="11"/>
  <c r="K147" i="11"/>
  <c r="K149" i="11" s="1"/>
  <c r="M35" i="11"/>
  <c r="L39" i="11"/>
  <c r="N130" i="10"/>
  <c r="N129" i="10"/>
  <c r="O116" i="10"/>
  <c r="O118" i="10" s="1"/>
  <c r="O120" i="10" s="1"/>
  <c r="O154" i="10"/>
  <c r="O203" i="10"/>
  <c r="O207" i="10" s="1"/>
  <c r="K112" i="10"/>
  <c r="K113" i="10" s="1"/>
  <c r="F53" i="14" l="1"/>
  <c r="E52" i="14"/>
  <c r="E53" i="14" s="1"/>
  <c r="E52" i="10"/>
  <c r="E53" i="10" s="1"/>
  <c r="H165" i="10"/>
  <c r="J165" i="10" s="1"/>
  <c r="J166" i="10" s="1"/>
  <c r="J168" i="10" s="1"/>
  <c r="F53" i="10"/>
  <c r="L39" i="10"/>
  <c r="M35" i="10"/>
  <c r="K40" i="10"/>
  <c r="K195" i="10" s="1"/>
  <c r="K147" i="13"/>
  <c r="K149" i="13" s="1"/>
  <c r="M35" i="13"/>
  <c r="L39" i="13"/>
  <c r="F53" i="13"/>
  <c r="E52" i="13"/>
  <c r="E53" i="13" s="1"/>
  <c r="H165" i="13"/>
  <c r="J165" i="13" s="1"/>
  <c r="J166" i="13" s="1"/>
  <c r="J168" i="13" s="1"/>
  <c r="G52" i="13"/>
  <c r="M35" i="17"/>
  <c r="L39" i="17"/>
  <c r="H165" i="17"/>
  <c r="J165" i="17" s="1"/>
  <c r="J166" i="17" s="1"/>
  <c r="J168" i="17" s="1"/>
  <c r="E52" i="17"/>
  <c r="E53" i="17" s="1"/>
  <c r="F53" i="17"/>
  <c r="G49" i="20"/>
  <c r="G50" i="20"/>
  <c r="G51" i="20"/>
  <c r="G48" i="20"/>
  <c r="G52" i="20"/>
  <c r="O35" i="19"/>
  <c r="O39" i="19" s="1"/>
  <c r="N39" i="19"/>
  <c r="M40" i="19"/>
  <c r="G53" i="18"/>
  <c r="O35" i="18"/>
  <c r="O39" i="18" s="1"/>
  <c r="N39" i="18"/>
  <c r="M40" i="18"/>
  <c r="O186" i="17"/>
  <c r="O187" i="17" s="1"/>
  <c r="O112" i="17"/>
  <c r="O113" i="17" s="1"/>
  <c r="O130" i="17"/>
  <c r="O129" i="17"/>
  <c r="O186" i="16"/>
  <c r="O187" i="16" s="1"/>
  <c r="G53" i="16"/>
  <c r="O130" i="16"/>
  <c r="O129" i="16"/>
  <c r="K112" i="16"/>
  <c r="K113" i="16"/>
  <c r="L147" i="16"/>
  <c r="L149" i="16" s="1"/>
  <c r="N35" i="16"/>
  <c r="M39" i="16"/>
  <c r="N146" i="16"/>
  <c r="L40" i="16"/>
  <c r="K193" i="15"/>
  <c r="K209" i="15" s="1"/>
  <c r="K220" i="15" s="1"/>
  <c r="K165" i="15"/>
  <c r="G53" i="15"/>
  <c r="L112" i="15"/>
  <c r="L113" i="15" s="1"/>
  <c r="L193" i="15" s="1"/>
  <c r="L209" i="15" s="1"/>
  <c r="L220" i="15" s="1"/>
  <c r="M147" i="15"/>
  <c r="M149" i="15" s="1"/>
  <c r="M111" i="15"/>
  <c r="M195" i="15"/>
  <c r="O35" i="15"/>
  <c r="O39" i="15" s="1"/>
  <c r="O147" i="15" s="1"/>
  <c r="O149" i="15" s="1"/>
  <c r="N39" i="15"/>
  <c r="G49" i="14"/>
  <c r="G48" i="14"/>
  <c r="G50" i="14"/>
  <c r="G51" i="14"/>
  <c r="G52" i="14"/>
  <c r="N186" i="14"/>
  <c r="N187" i="14" s="1"/>
  <c r="M146" i="14"/>
  <c r="J166" i="14"/>
  <c r="J168" i="14" s="1"/>
  <c r="K111" i="14"/>
  <c r="K195" i="14"/>
  <c r="N207" i="14"/>
  <c r="K147" i="14"/>
  <c r="K149" i="14" s="1"/>
  <c r="M35" i="14"/>
  <c r="L39" i="14"/>
  <c r="L40" i="14" s="1"/>
  <c r="K193" i="13"/>
  <c r="K209" i="13" s="1"/>
  <c r="M111" i="13"/>
  <c r="O186" i="13"/>
  <c r="O187" i="13" s="1"/>
  <c r="L112" i="13"/>
  <c r="L113" i="13" s="1"/>
  <c r="L193" i="13" s="1"/>
  <c r="O129" i="13"/>
  <c r="O130" i="13"/>
  <c r="L195" i="12"/>
  <c r="L111" i="12"/>
  <c r="G53" i="12"/>
  <c r="L147" i="12"/>
  <c r="L149" i="12" s="1"/>
  <c r="O186" i="12"/>
  <c r="O187" i="12" s="1"/>
  <c r="N35" i="12"/>
  <c r="M39" i="12"/>
  <c r="K112" i="12"/>
  <c r="K113" i="12" s="1"/>
  <c r="L147" i="11"/>
  <c r="L149" i="11" s="1"/>
  <c r="N35" i="11"/>
  <c r="M39" i="11"/>
  <c r="L40" i="11"/>
  <c r="N146" i="11"/>
  <c r="G53" i="11"/>
  <c r="K112" i="11"/>
  <c r="K113" i="11" s="1"/>
  <c r="K193" i="10"/>
  <c r="K209" i="10" s="1"/>
  <c r="K165" i="10"/>
  <c r="O130" i="10"/>
  <c r="O129" i="10"/>
  <c r="L111" i="10"/>
  <c r="K231" i="13" l="1"/>
  <c r="K233" i="13" s="1"/>
  <c r="K237" i="13" s="1"/>
  <c r="K238" i="13" s="1"/>
  <c r="K220" i="13"/>
  <c r="M39" i="10"/>
  <c r="M147" i="10" s="1"/>
  <c r="N35" i="10"/>
  <c r="L147" i="10"/>
  <c r="L40" i="10"/>
  <c r="L195" i="10" s="1"/>
  <c r="G49" i="10"/>
  <c r="G51" i="10"/>
  <c r="G48" i="10"/>
  <c r="G50" i="10"/>
  <c r="G52" i="10"/>
  <c r="M40" i="10"/>
  <c r="G48" i="13"/>
  <c r="G51" i="13"/>
  <c r="G49" i="13"/>
  <c r="G50" i="13"/>
  <c r="K165" i="13"/>
  <c r="L147" i="13"/>
  <c r="L149" i="13" s="1"/>
  <c r="M39" i="13"/>
  <c r="M147" i="13" s="1"/>
  <c r="M149" i="13" s="1"/>
  <c r="N35" i="13"/>
  <c r="L40" i="13"/>
  <c r="L195" i="13" s="1"/>
  <c r="L209" i="13" s="1"/>
  <c r="G49" i="17"/>
  <c r="G51" i="17"/>
  <c r="G50" i="17"/>
  <c r="G48" i="17"/>
  <c r="G52" i="17"/>
  <c r="N35" i="17"/>
  <c r="M39" i="17"/>
  <c r="M40" i="17" s="1"/>
  <c r="L40" i="17"/>
  <c r="O40" i="18"/>
  <c r="G53" i="20"/>
  <c r="O40" i="19"/>
  <c r="N40" i="19"/>
  <c r="N40" i="18"/>
  <c r="L111" i="16"/>
  <c r="O35" i="16"/>
  <c r="O39" i="16" s="1"/>
  <c r="O147" i="16" s="1"/>
  <c r="N39" i="16"/>
  <c r="N40" i="16" s="1"/>
  <c r="M147" i="16"/>
  <c r="M149" i="16" s="1"/>
  <c r="M40" i="16"/>
  <c r="O146" i="16"/>
  <c r="O149" i="16" s="1"/>
  <c r="K165" i="16"/>
  <c r="O40" i="15"/>
  <c r="N147" i="15"/>
  <c r="N149" i="15" s="1"/>
  <c r="M112" i="15"/>
  <c r="M113" i="15" s="1"/>
  <c r="M193" i="15" s="1"/>
  <c r="M209" i="15" s="1"/>
  <c r="M220" i="15" s="1"/>
  <c r="N40" i="15"/>
  <c r="L165" i="15"/>
  <c r="K166" i="15"/>
  <c r="K168" i="15" s="1"/>
  <c r="L111" i="14"/>
  <c r="L195" i="14"/>
  <c r="N35" i="14"/>
  <c r="M39" i="14"/>
  <c r="L147" i="14"/>
  <c r="L149" i="14" s="1"/>
  <c r="M40" i="14"/>
  <c r="K112" i="14"/>
  <c r="K113" i="14" s="1"/>
  <c r="N146" i="14"/>
  <c r="G53" i="14"/>
  <c r="M112" i="13"/>
  <c r="M113" i="13" s="1"/>
  <c r="M193" i="13" s="1"/>
  <c r="L165" i="13"/>
  <c r="K255" i="13"/>
  <c r="K193" i="12"/>
  <c r="K209" i="12" s="1"/>
  <c r="K165" i="12"/>
  <c r="M147" i="12"/>
  <c r="M149" i="12" s="1"/>
  <c r="O35" i="12"/>
  <c r="O39" i="12" s="1"/>
  <c r="O147" i="12" s="1"/>
  <c r="O149" i="12" s="1"/>
  <c r="N39" i="12"/>
  <c r="M40" i="12"/>
  <c r="L112" i="12"/>
  <c r="L113" i="12" s="1"/>
  <c r="L193" i="12" s="1"/>
  <c r="L209" i="12" s="1"/>
  <c r="K193" i="11"/>
  <c r="K209" i="11" s="1"/>
  <c r="K220" i="11" s="1"/>
  <c r="K165" i="11"/>
  <c r="O146" i="11"/>
  <c r="L111" i="11"/>
  <c r="L195" i="11"/>
  <c r="M147" i="11"/>
  <c r="M149" i="11" s="1"/>
  <c r="O35" i="11"/>
  <c r="O39" i="11" s="1"/>
  <c r="O147" i="11" s="1"/>
  <c r="N39" i="11"/>
  <c r="M40" i="11"/>
  <c r="M111" i="10"/>
  <c r="M195" i="10"/>
  <c r="L112" i="10"/>
  <c r="L113" i="10" s="1"/>
  <c r="K231" i="10"/>
  <c r="K233" i="10" s="1"/>
  <c r="K237" i="10" s="1"/>
  <c r="K238" i="10" s="1"/>
  <c r="K231" i="12" l="1"/>
  <c r="K233" i="12" s="1"/>
  <c r="K237" i="12" s="1"/>
  <c r="K238" i="12" s="1"/>
  <c r="K220" i="12"/>
  <c r="L231" i="12"/>
  <c r="L220" i="12"/>
  <c r="L231" i="13"/>
  <c r="L220" i="13"/>
  <c r="G53" i="10"/>
  <c r="N39" i="10"/>
  <c r="O35" i="10"/>
  <c r="O39" i="10" s="1"/>
  <c r="O147" i="10" s="1"/>
  <c r="O35" i="13"/>
  <c r="O39" i="13" s="1"/>
  <c r="O147" i="13" s="1"/>
  <c r="O149" i="13" s="1"/>
  <c r="N39" i="13"/>
  <c r="N40" i="13" s="1"/>
  <c r="N195" i="13" s="1"/>
  <c r="G53" i="13"/>
  <c r="M40" i="13"/>
  <c r="M195" i="13" s="1"/>
  <c r="M209" i="13" s="1"/>
  <c r="O35" i="17"/>
  <c r="O39" i="17" s="1"/>
  <c r="N39" i="17"/>
  <c r="G53" i="17"/>
  <c r="M165" i="13"/>
  <c r="M111" i="16"/>
  <c r="N111" i="16"/>
  <c r="K166" i="16"/>
  <c r="K168" i="16" s="1"/>
  <c r="O40" i="16"/>
  <c r="N147" i="16"/>
  <c r="N149" i="16" s="1"/>
  <c r="L112" i="16"/>
  <c r="L113" i="16"/>
  <c r="M165" i="15"/>
  <c r="L166" i="15"/>
  <c r="L168" i="15" s="1"/>
  <c r="N111" i="15"/>
  <c r="N195" i="15"/>
  <c r="O111" i="15"/>
  <c r="O195" i="15"/>
  <c r="K193" i="14"/>
  <c r="K209" i="14" s="1"/>
  <c r="K165" i="14"/>
  <c r="O146" i="14"/>
  <c r="M111" i="14"/>
  <c r="M195" i="14"/>
  <c r="M147" i="14"/>
  <c r="M149" i="14" s="1"/>
  <c r="O35" i="14"/>
  <c r="O39" i="14" s="1"/>
  <c r="O147" i="14" s="1"/>
  <c r="N39" i="14"/>
  <c r="L112" i="14"/>
  <c r="L113" i="14" s="1"/>
  <c r="L193" i="14" s="1"/>
  <c r="L209" i="14" s="1"/>
  <c r="K241" i="13"/>
  <c r="K256" i="13"/>
  <c r="N111" i="13"/>
  <c r="O111" i="13"/>
  <c r="M195" i="12"/>
  <c r="M111" i="12"/>
  <c r="N147" i="12"/>
  <c r="N149" i="12" s="1"/>
  <c r="O40" i="12"/>
  <c r="N40" i="12"/>
  <c r="L165" i="12"/>
  <c r="K255" i="12"/>
  <c r="M111" i="11"/>
  <c r="M195" i="11"/>
  <c r="O40" i="11"/>
  <c r="N147" i="11"/>
  <c r="N149" i="11" s="1"/>
  <c r="N40" i="11"/>
  <c r="L112" i="11"/>
  <c r="L113" i="11" s="1"/>
  <c r="O149" i="11"/>
  <c r="K231" i="11"/>
  <c r="K233" i="11" s="1"/>
  <c r="K237" i="11" s="1"/>
  <c r="K238" i="11" s="1"/>
  <c r="L193" i="10"/>
  <c r="L209" i="10" s="1"/>
  <c r="L165" i="10"/>
  <c r="K255" i="10"/>
  <c r="N111" i="10"/>
  <c r="O111" i="10"/>
  <c r="M112" i="10"/>
  <c r="M113" i="10" s="1"/>
  <c r="M193" i="10" s="1"/>
  <c r="M209" i="10" s="1"/>
  <c r="M231" i="13" l="1"/>
  <c r="M220" i="13"/>
  <c r="L231" i="14"/>
  <c r="L233" i="14" s="1"/>
  <c r="L237" i="14" s="1"/>
  <c r="L238" i="14" s="1"/>
  <c r="L220" i="14"/>
  <c r="K231" i="14"/>
  <c r="K233" i="14" s="1"/>
  <c r="K237" i="14" s="1"/>
  <c r="K238" i="14" s="1"/>
  <c r="K220" i="14"/>
  <c r="N147" i="10"/>
  <c r="O40" i="10"/>
  <c r="O195" i="10" s="1"/>
  <c r="N40" i="10"/>
  <c r="N195" i="10" s="1"/>
  <c r="O40" i="13"/>
  <c r="O195" i="13" s="1"/>
  <c r="N147" i="13"/>
  <c r="N149" i="13" s="1"/>
  <c r="O40" i="17"/>
  <c r="N40" i="17"/>
  <c r="O111" i="16"/>
  <c r="L165" i="16"/>
  <c r="N112" i="16"/>
  <c r="N113" i="16"/>
  <c r="M112" i="16"/>
  <c r="M113" i="16"/>
  <c r="O112" i="15"/>
  <c r="O113" i="15" s="1"/>
  <c r="O193" i="15" s="1"/>
  <c r="O209" i="15" s="1"/>
  <c r="O220" i="15" s="1"/>
  <c r="N112" i="15"/>
  <c r="N113" i="15" s="1"/>
  <c r="M166" i="15"/>
  <c r="M168" i="15" s="1"/>
  <c r="N147" i="14"/>
  <c r="N149" i="14" s="1"/>
  <c r="O40" i="14"/>
  <c r="N40" i="14"/>
  <c r="M112" i="14"/>
  <c r="M113" i="14" s="1"/>
  <c r="M193" i="14" s="1"/>
  <c r="M209" i="14" s="1"/>
  <c r="O149" i="14"/>
  <c r="L165" i="14"/>
  <c r="K245" i="14"/>
  <c r="O112" i="13"/>
  <c r="O113" i="13" s="1"/>
  <c r="O193" i="13" s="1"/>
  <c r="O209" i="13" s="1"/>
  <c r="N112" i="13"/>
  <c r="N113" i="13" s="1"/>
  <c r="K264" i="13"/>
  <c r="K159" i="13"/>
  <c r="L254" i="13"/>
  <c r="K258" i="13"/>
  <c r="K241" i="12"/>
  <c r="K256" i="12"/>
  <c r="N195" i="12"/>
  <c r="N111" i="12"/>
  <c r="O195" i="12"/>
  <c r="O111" i="12"/>
  <c r="M112" i="12"/>
  <c r="M113" i="12" s="1"/>
  <c r="L193" i="11"/>
  <c r="L209" i="11" s="1"/>
  <c r="L220" i="11" s="1"/>
  <c r="L165" i="11"/>
  <c r="K255" i="11"/>
  <c r="N111" i="11"/>
  <c r="N195" i="11"/>
  <c r="O111" i="11"/>
  <c r="O195" i="11"/>
  <c r="M112" i="11"/>
  <c r="M113" i="11" s="1"/>
  <c r="M193" i="11" s="1"/>
  <c r="M209" i="11" s="1"/>
  <c r="M220" i="11" s="1"/>
  <c r="M231" i="10"/>
  <c r="O112" i="10"/>
  <c r="O113" i="10" s="1"/>
  <c r="O193" i="10" s="1"/>
  <c r="O209" i="10" s="1"/>
  <c r="N112" i="10"/>
  <c r="N113" i="10"/>
  <c r="N193" i="10" s="1"/>
  <c r="N209" i="10" s="1"/>
  <c r="K241" i="10"/>
  <c r="K256" i="10"/>
  <c r="M165" i="10"/>
  <c r="N165" i="10" s="1"/>
  <c r="L231" i="10"/>
  <c r="O231" i="13" l="1"/>
  <c r="O220" i="13"/>
  <c r="M231" i="14"/>
  <c r="M233" i="14" s="1"/>
  <c r="M237" i="14" s="1"/>
  <c r="M238" i="14" s="1"/>
  <c r="M220" i="14"/>
  <c r="O165" i="10"/>
  <c r="M165" i="16"/>
  <c r="L166" i="16"/>
  <c r="L168" i="16" s="1"/>
  <c r="O112" i="16"/>
  <c r="O113" i="16" s="1"/>
  <c r="N193" i="15"/>
  <c r="N209" i="15" s="1"/>
  <c r="N220" i="15" s="1"/>
  <c r="N165" i="15"/>
  <c r="K163" i="14"/>
  <c r="K166" i="14" s="1"/>
  <c r="K168" i="14" s="1"/>
  <c r="M165" i="14"/>
  <c r="N111" i="14"/>
  <c r="N195" i="14"/>
  <c r="O111" i="14"/>
  <c r="O195" i="14"/>
  <c r="N193" i="13"/>
  <c r="N209" i="13" s="1"/>
  <c r="N165" i="13"/>
  <c r="O165" i="13" s="1"/>
  <c r="K245" i="13"/>
  <c r="M193" i="12"/>
  <c r="M209" i="12" s="1"/>
  <c r="M165" i="12"/>
  <c r="O112" i="12"/>
  <c r="O113" i="12" s="1"/>
  <c r="O193" i="12" s="1"/>
  <c r="O209" i="12" s="1"/>
  <c r="N112" i="12"/>
  <c r="N113" i="12" s="1"/>
  <c r="N193" i="12" s="1"/>
  <c r="N209" i="12" s="1"/>
  <c r="K159" i="12"/>
  <c r="K264" i="12"/>
  <c r="L254" i="12"/>
  <c r="K258" i="12"/>
  <c r="K269" i="12"/>
  <c r="M231" i="11"/>
  <c r="O112" i="11"/>
  <c r="O113" i="11" s="1"/>
  <c r="O193" i="11" s="1"/>
  <c r="O209" i="11" s="1"/>
  <c r="O220" i="11" s="1"/>
  <c r="N112" i="11"/>
  <c r="N113" i="11" s="1"/>
  <c r="N193" i="11" s="1"/>
  <c r="N209" i="11" s="1"/>
  <c r="N220" i="11" s="1"/>
  <c r="K241" i="11"/>
  <c r="K256" i="11"/>
  <c r="M165" i="11"/>
  <c r="L231" i="11"/>
  <c r="K264" i="10"/>
  <c r="K159" i="10"/>
  <c r="L254" i="10"/>
  <c r="K258" i="10"/>
  <c r="K269" i="10"/>
  <c r="N231" i="10"/>
  <c r="O231" i="10"/>
  <c r="M231" i="12" l="1"/>
  <c r="M220" i="12"/>
  <c r="O231" i="12"/>
  <c r="O220" i="12"/>
  <c r="N231" i="12"/>
  <c r="N220" i="12"/>
  <c r="N231" i="13"/>
  <c r="N220" i="13"/>
  <c r="N165" i="16"/>
  <c r="M166" i="16"/>
  <c r="M168" i="16" s="1"/>
  <c r="O165" i="15"/>
  <c r="O166" i="15" s="1"/>
  <c r="O168" i="15" s="1"/>
  <c r="N166" i="15"/>
  <c r="N168" i="15" s="1"/>
  <c r="O112" i="14"/>
  <c r="O113" i="14" s="1"/>
  <c r="O193" i="14" s="1"/>
  <c r="O209" i="14" s="1"/>
  <c r="N112" i="14"/>
  <c r="N113" i="14" s="1"/>
  <c r="L245" i="14"/>
  <c r="K163" i="13"/>
  <c r="K166" i="13" s="1"/>
  <c r="K168" i="13" s="1"/>
  <c r="K242" i="12"/>
  <c r="K270" i="12"/>
  <c r="N165" i="12"/>
  <c r="O165" i="12" s="1"/>
  <c r="N231" i="11"/>
  <c r="O231" i="11"/>
  <c r="N165" i="11"/>
  <c r="O165" i="11" s="1"/>
  <c r="K159" i="11"/>
  <c r="K264" i="11"/>
  <c r="L254" i="11"/>
  <c r="K258" i="11"/>
  <c r="K269" i="11"/>
  <c r="K242" i="10"/>
  <c r="K270" i="10"/>
  <c r="O231" i="14" l="1"/>
  <c r="O233" i="14" s="1"/>
  <c r="O237" i="14" s="1"/>
  <c r="O238" i="14" s="1"/>
  <c r="O220" i="14"/>
  <c r="O165" i="16"/>
  <c r="O166" i="16" s="1"/>
  <c r="O168" i="16" s="1"/>
  <c r="N166" i="16"/>
  <c r="N168" i="16" s="1"/>
  <c r="N193" i="14"/>
  <c r="N209" i="14" s="1"/>
  <c r="N165" i="14"/>
  <c r="O165" i="14" s="1"/>
  <c r="L232" i="13"/>
  <c r="L233" i="13" s="1"/>
  <c r="L237" i="13" s="1"/>
  <c r="L238" i="13" s="1"/>
  <c r="L255" i="13" s="1"/>
  <c r="L267" i="12"/>
  <c r="K160" i="12"/>
  <c r="K272" i="12"/>
  <c r="K242" i="11"/>
  <c r="K270" i="11"/>
  <c r="K160" i="10"/>
  <c r="L267" i="10"/>
  <c r="K272" i="10"/>
  <c r="N231" i="14" l="1"/>
  <c r="N233" i="14" s="1"/>
  <c r="N237" i="14" s="1"/>
  <c r="N238" i="14" s="1"/>
  <c r="N220" i="14"/>
  <c r="L163" i="14"/>
  <c r="L166" i="14" s="1"/>
  <c r="L168" i="14" s="1"/>
  <c r="L241" i="13"/>
  <c r="L256" i="13"/>
  <c r="L268" i="12"/>
  <c r="L227" i="12" s="1"/>
  <c r="L228" i="12" s="1"/>
  <c r="L232" i="12" s="1"/>
  <c r="L233" i="12" s="1"/>
  <c r="L237" i="12" s="1"/>
  <c r="L238" i="12" s="1"/>
  <c r="L255" i="12" s="1"/>
  <c r="L267" i="11"/>
  <c r="K160" i="11"/>
  <c r="K272" i="11"/>
  <c r="L268" i="10"/>
  <c r="L227" i="10" s="1"/>
  <c r="L228" i="10" s="1"/>
  <c r="M245" i="14" l="1"/>
  <c r="M254" i="13"/>
  <c r="L159" i="13"/>
  <c r="L264" i="13"/>
  <c r="L258" i="13"/>
  <c r="L245" i="13"/>
  <c r="L241" i="12"/>
  <c r="L256" i="12"/>
  <c r="L269" i="12"/>
  <c r="L242" i="12" s="1"/>
  <c r="L268" i="11"/>
  <c r="L227" i="11" s="1"/>
  <c r="L228" i="11" s="1"/>
  <c r="L232" i="11" s="1"/>
  <c r="L233" i="11" s="1"/>
  <c r="L237" i="11" s="1"/>
  <c r="L238" i="11" s="1"/>
  <c r="L232" i="10"/>
  <c r="L233" i="10" s="1"/>
  <c r="L237" i="10" s="1"/>
  <c r="L270" i="12" l="1"/>
  <c r="L163" i="13"/>
  <c r="L166" i="13" s="1"/>
  <c r="L168" i="13" s="1"/>
  <c r="M267" i="12"/>
  <c r="L160" i="12"/>
  <c r="L272" i="12"/>
  <c r="L159" i="12"/>
  <c r="L264" i="12"/>
  <c r="M254" i="12"/>
  <c r="L258" i="12"/>
  <c r="L255" i="11"/>
  <c r="M163" i="14" l="1"/>
  <c r="M166" i="14" s="1"/>
  <c r="M168" i="14" s="1"/>
  <c r="M232" i="13"/>
  <c r="M233" i="13" s="1"/>
  <c r="M237" i="13" s="1"/>
  <c r="M238" i="13" s="1"/>
  <c r="M255" i="13" s="1"/>
  <c r="M268" i="12"/>
  <c r="M227" i="12" s="1"/>
  <c r="M228" i="12" s="1"/>
  <c r="M232" i="12" s="1"/>
  <c r="M233" i="12" s="1"/>
  <c r="M237" i="12" s="1"/>
  <c r="M238" i="12" s="1"/>
  <c r="M255" i="12" s="1"/>
  <c r="M241" i="12" s="1"/>
  <c r="L241" i="11"/>
  <c r="L256" i="11"/>
  <c r="N245" i="14" l="1"/>
  <c r="M241" i="13"/>
  <c r="M256" i="13"/>
  <c r="M269" i="12"/>
  <c r="M242" i="12" s="1"/>
  <c r="M256" i="12"/>
  <c r="L264" i="11"/>
  <c r="M254" i="11"/>
  <c r="L159" i="11"/>
  <c r="L258" i="11"/>
  <c r="L269" i="11"/>
  <c r="M270" i="12" l="1"/>
  <c r="N254" i="13"/>
  <c r="M264" i="13"/>
  <c r="M159" i="13"/>
  <c r="M258" i="13"/>
  <c r="M245" i="13"/>
  <c r="N267" i="12"/>
  <c r="M160" i="12"/>
  <c r="M272" i="12"/>
  <c r="M159" i="12"/>
  <c r="M264" i="12"/>
  <c r="N254" i="12"/>
  <c r="M258" i="12"/>
  <c r="L242" i="11"/>
  <c r="L270" i="11"/>
  <c r="N163" i="14" l="1"/>
  <c r="N166" i="14" s="1"/>
  <c r="N168" i="14" s="1"/>
  <c r="M163" i="13"/>
  <c r="M166" i="13" s="1"/>
  <c r="M168" i="13" s="1"/>
  <c r="N268" i="12"/>
  <c r="N227" i="12" s="1"/>
  <c r="N228" i="12" s="1"/>
  <c r="N232" i="12" s="1"/>
  <c r="N233" i="12" s="1"/>
  <c r="N237" i="12" s="1"/>
  <c r="N238" i="12" s="1"/>
  <c r="N255" i="12" s="1"/>
  <c r="N241" i="12" s="1"/>
  <c r="M267" i="11"/>
  <c r="L160" i="11"/>
  <c r="L272" i="11"/>
  <c r="O245" i="14" l="1"/>
  <c r="N232" i="13"/>
  <c r="N233" i="13" s="1"/>
  <c r="N237" i="13" s="1"/>
  <c r="N238" i="13" s="1"/>
  <c r="N255" i="13" s="1"/>
  <c r="N256" i="12"/>
  <c r="N269" i="12"/>
  <c r="N242" i="12" s="1"/>
  <c r="M268" i="11"/>
  <c r="M227" i="11" s="1"/>
  <c r="M228" i="11" s="1"/>
  <c r="M232" i="11" s="1"/>
  <c r="M233" i="11" s="1"/>
  <c r="M237" i="11" s="1"/>
  <c r="M238" i="11" s="1"/>
  <c r="N241" i="13" l="1"/>
  <c r="N256" i="13"/>
  <c r="N159" i="12"/>
  <c r="N264" i="12"/>
  <c r="O254" i="12"/>
  <c r="N258" i="12"/>
  <c r="N270" i="12"/>
  <c r="M255" i="11"/>
  <c r="O163" i="14" l="1"/>
  <c r="O166" i="14" s="1"/>
  <c r="O168" i="14" s="1"/>
  <c r="O254" i="13"/>
  <c r="N264" i="13"/>
  <c r="N159" i="13"/>
  <c r="N258" i="13"/>
  <c r="N245" i="13"/>
  <c r="O267" i="12"/>
  <c r="N160" i="12"/>
  <c r="N272" i="12"/>
  <c r="M241" i="11"/>
  <c r="M256" i="11"/>
  <c r="N163" i="13" l="1"/>
  <c r="N166" i="13" s="1"/>
  <c r="N168" i="13" s="1"/>
  <c r="O268" i="12"/>
  <c r="O227" i="12" s="1"/>
  <c r="O228" i="12" s="1"/>
  <c r="O232" i="12" s="1"/>
  <c r="O233" i="12" s="1"/>
  <c r="O237" i="12" s="1"/>
  <c r="O238" i="12" s="1"/>
  <c r="O255" i="12" s="1"/>
  <c r="M264" i="11"/>
  <c r="N254" i="11"/>
  <c r="M159" i="11"/>
  <c r="M258" i="11"/>
  <c r="M269" i="11"/>
  <c r="O232" i="13" l="1"/>
  <c r="O233" i="13" s="1"/>
  <c r="O237" i="13" s="1"/>
  <c r="O238" i="13" s="1"/>
  <c r="O255" i="13" s="1"/>
  <c r="O241" i="12"/>
  <c r="O256" i="12"/>
  <c r="O269" i="12"/>
  <c r="O242" i="12" s="1"/>
  <c r="M242" i="11"/>
  <c r="M270" i="11"/>
  <c r="O241" i="13" l="1"/>
  <c r="O256" i="13"/>
  <c r="O159" i="12"/>
  <c r="O264" i="12"/>
  <c r="O258" i="12"/>
  <c r="O270" i="12"/>
  <c r="N267" i="11"/>
  <c r="M160" i="11"/>
  <c r="M272" i="11"/>
  <c r="O264" i="13" l="1"/>
  <c r="O159" i="13"/>
  <c r="O258" i="13"/>
  <c r="O245" i="13"/>
  <c r="O160" i="12"/>
  <c r="O272" i="12"/>
  <c r="N268" i="11"/>
  <c r="N227" i="11" s="1"/>
  <c r="N228" i="11" s="1"/>
  <c r="N232" i="11" s="1"/>
  <c r="N233" i="11" s="1"/>
  <c r="N237" i="11" s="1"/>
  <c r="N238" i="11" s="1"/>
  <c r="O163" i="13" l="1"/>
  <c r="O166" i="13" s="1"/>
  <c r="O168" i="13" s="1"/>
  <c r="N255" i="11"/>
  <c r="N241" i="11" l="1"/>
  <c r="N256" i="11"/>
  <c r="N264" i="11" l="1"/>
  <c r="O254" i="11"/>
  <c r="N159" i="11"/>
  <c r="N258" i="11"/>
  <c r="N269" i="11"/>
  <c r="N242" i="11" l="1"/>
  <c r="N270" i="11"/>
  <c r="O267" i="11" l="1"/>
  <c r="N160" i="11"/>
  <c r="N272" i="11"/>
  <c r="O268" i="11" l="1"/>
  <c r="O227" i="11" s="1"/>
  <c r="O228" i="11" s="1"/>
  <c r="O232" i="11" s="1"/>
  <c r="O233" i="11" s="1"/>
  <c r="O237" i="11" s="1"/>
  <c r="O238" i="11" s="1"/>
  <c r="O255" i="11" l="1"/>
  <c r="O241" i="11" l="1"/>
  <c r="O256" i="11"/>
  <c r="O264" i="11" l="1"/>
  <c r="O159" i="11"/>
  <c r="O258" i="11"/>
  <c r="O269" i="11"/>
  <c r="O242" i="11" l="1"/>
  <c r="O270" i="11"/>
  <c r="O160" i="11" l="1"/>
  <c r="O272" i="11"/>
  <c r="K284" i="8" l="1"/>
  <c r="K273" i="8"/>
  <c r="K259" i="8"/>
  <c r="I258" i="8"/>
  <c r="L251" i="8"/>
  <c r="L284" i="8" s="1"/>
  <c r="O236" i="8"/>
  <c r="N236" i="8"/>
  <c r="M236" i="8"/>
  <c r="L236" i="8"/>
  <c r="K236" i="8"/>
  <c r="B206" i="8"/>
  <c r="B205" i="8"/>
  <c r="B204" i="8"/>
  <c r="B203" i="8"/>
  <c r="B202" i="8"/>
  <c r="B201" i="8"/>
  <c r="B200" i="8"/>
  <c r="B199" i="8"/>
  <c r="G173" i="8"/>
  <c r="F173" i="8"/>
  <c r="E173" i="8"/>
  <c r="B173" i="8"/>
  <c r="G172" i="8"/>
  <c r="G177" i="8" s="1"/>
  <c r="F172" i="8"/>
  <c r="F177" i="8" s="1"/>
  <c r="E172" i="8"/>
  <c r="E181" i="8" s="1"/>
  <c r="B172" i="8"/>
  <c r="G171" i="8"/>
  <c r="G178" i="8" s="1"/>
  <c r="F171" i="8"/>
  <c r="F178" i="8" s="1"/>
  <c r="E171" i="8"/>
  <c r="E178" i="8" s="1"/>
  <c r="B171" i="8"/>
  <c r="G163" i="8"/>
  <c r="E22" i="8" s="1"/>
  <c r="F163" i="8"/>
  <c r="E163" i="8"/>
  <c r="E166" i="8" s="1"/>
  <c r="B162" i="8"/>
  <c r="B244" i="8" s="1"/>
  <c r="B288" i="8" s="1"/>
  <c r="B314" i="8" s="1"/>
  <c r="B161" i="8"/>
  <c r="B243" i="8" s="1"/>
  <c r="B277" i="8" s="1"/>
  <c r="B313" i="8" s="1"/>
  <c r="B160" i="8"/>
  <c r="B242" i="8" s="1"/>
  <c r="B266" i="8" s="1"/>
  <c r="B312" i="8" s="1"/>
  <c r="B159" i="8"/>
  <c r="B241" i="8" s="1"/>
  <c r="B253" i="8" s="1"/>
  <c r="J158" i="8"/>
  <c r="K158" i="8" s="1"/>
  <c r="L158" i="8" s="1"/>
  <c r="M158" i="8" s="1"/>
  <c r="N158" i="8" s="1"/>
  <c r="O158" i="8" s="1"/>
  <c r="J156" i="8"/>
  <c r="G154" i="8"/>
  <c r="F154" i="8"/>
  <c r="E154" i="8"/>
  <c r="J153" i="8"/>
  <c r="J152" i="8"/>
  <c r="J151" i="8"/>
  <c r="J154" i="8" s="1"/>
  <c r="J148" i="8"/>
  <c r="J145" i="8"/>
  <c r="G143" i="8"/>
  <c r="G186" i="8" s="1"/>
  <c r="G187" i="8" s="1"/>
  <c r="F143" i="8"/>
  <c r="F186" i="8" s="1"/>
  <c r="F187" i="8" s="1"/>
  <c r="E143" i="8"/>
  <c r="E186" i="8" s="1"/>
  <c r="E187" i="8" s="1"/>
  <c r="J142" i="8"/>
  <c r="J141" i="8"/>
  <c r="J140" i="8"/>
  <c r="J139" i="8"/>
  <c r="K138" i="8"/>
  <c r="K322" i="8" s="1"/>
  <c r="K133" i="8"/>
  <c r="L133" i="8" s="1"/>
  <c r="J133" i="8"/>
  <c r="I133" i="8"/>
  <c r="H133" i="8"/>
  <c r="J132" i="8"/>
  <c r="K132" i="8" s="1"/>
  <c r="I132" i="8"/>
  <c r="H132" i="8"/>
  <c r="J128" i="8"/>
  <c r="K128" i="8" s="1"/>
  <c r="L128" i="8" s="1"/>
  <c r="M128" i="8" s="1"/>
  <c r="N128" i="8" s="1"/>
  <c r="O128" i="8" s="1"/>
  <c r="I128" i="8"/>
  <c r="H128" i="8"/>
  <c r="J126" i="8"/>
  <c r="I126" i="8"/>
  <c r="J106" i="8"/>
  <c r="J108" i="8" s="1"/>
  <c r="I106" i="8"/>
  <c r="I108" i="8" s="1"/>
  <c r="H106" i="8"/>
  <c r="H108" i="8" s="1"/>
  <c r="K104" i="8"/>
  <c r="K117" i="8" s="1"/>
  <c r="K194" i="8" s="1"/>
  <c r="L103" i="8"/>
  <c r="L300" i="8" s="1"/>
  <c r="K103" i="8"/>
  <c r="K300" i="8" s="1"/>
  <c r="J103" i="8"/>
  <c r="G138" i="8" s="1"/>
  <c r="B89" i="8"/>
  <c r="B87" i="8"/>
  <c r="B85" i="8"/>
  <c r="B84" i="8"/>
  <c r="B83" i="8"/>
  <c r="K69" i="8"/>
  <c r="L58" i="8"/>
  <c r="K58" i="8"/>
  <c r="J58" i="8"/>
  <c r="I58" i="8"/>
  <c r="H58" i="8"/>
  <c r="B42" i="8"/>
  <c r="F37" i="8"/>
  <c r="F36" i="8"/>
  <c r="F35" i="8"/>
  <c r="J34" i="8"/>
  <c r="I34" i="8" s="1"/>
  <c r="K34" i="8" s="1"/>
  <c r="F34" i="8"/>
  <c r="K32" i="8"/>
  <c r="E137" i="8" s="1"/>
  <c r="E28" i="8"/>
  <c r="E23" i="8"/>
  <c r="L9" i="8"/>
  <c r="K9" i="8"/>
  <c r="M284" i="7"/>
  <c r="L284" i="7"/>
  <c r="K284" i="7"/>
  <c r="M273" i="7"/>
  <c r="K273" i="7"/>
  <c r="K259" i="7"/>
  <c r="I258" i="7"/>
  <c r="M251" i="7"/>
  <c r="M259" i="7" s="1"/>
  <c r="L251" i="7"/>
  <c r="L273" i="7" s="1"/>
  <c r="O236" i="7"/>
  <c r="N236" i="7"/>
  <c r="M236" i="7"/>
  <c r="L236" i="7"/>
  <c r="K236" i="7"/>
  <c r="B206" i="7"/>
  <c r="B205" i="7"/>
  <c r="B204" i="7"/>
  <c r="B203" i="7"/>
  <c r="B202" i="7"/>
  <c r="B201" i="7"/>
  <c r="B200" i="7"/>
  <c r="B199" i="7"/>
  <c r="G173" i="7"/>
  <c r="F173" i="7"/>
  <c r="E173" i="7"/>
  <c r="B173" i="7"/>
  <c r="G172" i="7"/>
  <c r="G182" i="7" s="1"/>
  <c r="F172" i="7"/>
  <c r="F182" i="7" s="1"/>
  <c r="E172" i="7"/>
  <c r="E182" i="7" s="1"/>
  <c r="B172" i="7"/>
  <c r="G171" i="7"/>
  <c r="G183" i="7" s="1"/>
  <c r="F171" i="7"/>
  <c r="F184" i="7" s="1"/>
  <c r="E171" i="7"/>
  <c r="E184" i="7" s="1"/>
  <c r="B171" i="7"/>
  <c r="G163" i="7"/>
  <c r="F163" i="7"/>
  <c r="E163" i="7"/>
  <c r="B162" i="7"/>
  <c r="B244" i="7" s="1"/>
  <c r="B288" i="7" s="1"/>
  <c r="B314" i="7" s="1"/>
  <c r="B161" i="7"/>
  <c r="B243" i="7" s="1"/>
  <c r="B277" i="7" s="1"/>
  <c r="B313" i="7" s="1"/>
  <c r="B160" i="7"/>
  <c r="B227" i="7" s="1"/>
  <c r="B159" i="7"/>
  <c r="B241" i="7" s="1"/>
  <c r="B253" i="7" s="1"/>
  <c r="J158" i="7"/>
  <c r="K158" i="7" s="1"/>
  <c r="L158" i="7" s="1"/>
  <c r="M158" i="7" s="1"/>
  <c r="N158" i="7" s="1"/>
  <c r="O158" i="7" s="1"/>
  <c r="J156" i="7"/>
  <c r="G154" i="7"/>
  <c r="G166" i="7" s="1"/>
  <c r="F154" i="7"/>
  <c r="F166" i="7" s="1"/>
  <c r="E154" i="7"/>
  <c r="E166" i="7" s="1"/>
  <c r="J153" i="7"/>
  <c r="J152" i="7"/>
  <c r="J151" i="7"/>
  <c r="J154" i="7" s="1"/>
  <c r="J148" i="7"/>
  <c r="J145" i="7"/>
  <c r="G143" i="7"/>
  <c r="G186" i="7" s="1"/>
  <c r="G187" i="7" s="1"/>
  <c r="F143" i="7"/>
  <c r="F149" i="7" s="1"/>
  <c r="E143" i="7"/>
  <c r="E149" i="7" s="1"/>
  <c r="J142" i="7"/>
  <c r="J141" i="7"/>
  <c r="J140" i="7"/>
  <c r="J139" i="7"/>
  <c r="K301" i="7" s="1"/>
  <c r="J133" i="7"/>
  <c r="K133" i="7" s="1"/>
  <c r="I133" i="7"/>
  <c r="H133" i="7"/>
  <c r="J132" i="7"/>
  <c r="K132" i="7" s="1"/>
  <c r="I132" i="7"/>
  <c r="H132" i="7"/>
  <c r="J128" i="7"/>
  <c r="K128" i="7" s="1"/>
  <c r="L128" i="7" s="1"/>
  <c r="M128" i="7" s="1"/>
  <c r="N128" i="7" s="1"/>
  <c r="O128" i="7" s="1"/>
  <c r="I128" i="7"/>
  <c r="H128" i="7"/>
  <c r="J127" i="7"/>
  <c r="K127" i="7" s="1"/>
  <c r="L127" i="7" s="1"/>
  <c r="M127" i="7" s="1"/>
  <c r="N127" i="7" s="1"/>
  <c r="O127" i="7" s="1"/>
  <c r="I127" i="7"/>
  <c r="J126" i="7"/>
  <c r="I126" i="7"/>
  <c r="J108" i="7"/>
  <c r="J116" i="7" s="1"/>
  <c r="J118" i="7" s="1"/>
  <c r="J120" i="7" s="1"/>
  <c r="I108" i="7"/>
  <c r="I116" i="7" s="1"/>
  <c r="I118" i="7" s="1"/>
  <c r="I120" i="7" s="1"/>
  <c r="J106" i="7"/>
  <c r="I106" i="7"/>
  <c r="H106" i="7"/>
  <c r="H127" i="7" s="1"/>
  <c r="K104" i="7"/>
  <c r="K103" i="7"/>
  <c r="K192" i="7" s="1"/>
  <c r="B89" i="7"/>
  <c r="B87" i="7"/>
  <c r="B85" i="7"/>
  <c r="B84" i="7"/>
  <c r="B83" i="7"/>
  <c r="K69" i="7"/>
  <c r="K58" i="7"/>
  <c r="J58" i="7" s="1"/>
  <c r="I58" i="7" s="1"/>
  <c r="H58" i="7" s="1"/>
  <c r="B42" i="7"/>
  <c r="F37" i="7"/>
  <c r="F36" i="7"/>
  <c r="F35" i="7"/>
  <c r="J34" i="7"/>
  <c r="I34" i="7" s="1"/>
  <c r="F34" i="7"/>
  <c r="K33" i="7"/>
  <c r="K32" i="7"/>
  <c r="K321" i="7" s="1"/>
  <c r="E28" i="7"/>
  <c r="E23" i="7"/>
  <c r="E22" i="7"/>
  <c r="K9" i="7"/>
  <c r="B42" i="6"/>
  <c r="E176" i="7" l="1"/>
  <c r="J103" i="7"/>
  <c r="F176" i="7"/>
  <c r="G176" i="7"/>
  <c r="L103" i="7"/>
  <c r="E178" i="7"/>
  <c r="N251" i="7"/>
  <c r="N273" i="7" s="1"/>
  <c r="K107" i="7"/>
  <c r="K173" i="7" s="1"/>
  <c r="F178" i="7"/>
  <c r="J143" i="7"/>
  <c r="G178" i="7"/>
  <c r="E183" i="7"/>
  <c r="L259" i="7"/>
  <c r="G184" i="7"/>
  <c r="E168" i="7"/>
  <c r="F168" i="7"/>
  <c r="F166" i="8"/>
  <c r="M251" i="8"/>
  <c r="G166" i="8"/>
  <c r="E182" i="8"/>
  <c r="K33" i="8"/>
  <c r="F182" i="8"/>
  <c r="L33" i="8"/>
  <c r="I103" i="8"/>
  <c r="G182" i="8"/>
  <c r="F181" i="8"/>
  <c r="L273" i="8"/>
  <c r="G181" i="8"/>
  <c r="I116" i="8"/>
  <c r="I118" i="8" s="1"/>
  <c r="I120" i="8" s="1"/>
  <c r="I111" i="8"/>
  <c r="H116" i="8"/>
  <c r="H118" i="8" s="1"/>
  <c r="H120" i="8" s="1"/>
  <c r="H129" i="8" s="1"/>
  <c r="H111" i="8"/>
  <c r="L132" i="8"/>
  <c r="K123" i="8"/>
  <c r="M133" i="8"/>
  <c r="L117" i="8"/>
  <c r="L194" i="8" s="1"/>
  <c r="L34" i="8"/>
  <c r="B311" i="8"/>
  <c r="B310" i="8"/>
  <c r="L322" i="8"/>
  <c r="M322" i="8" s="1"/>
  <c r="N322" i="8" s="1"/>
  <c r="O322" i="8" s="1"/>
  <c r="J116" i="8"/>
  <c r="J118" i="8" s="1"/>
  <c r="J120" i="8" s="1"/>
  <c r="J111" i="8"/>
  <c r="K224" i="8"/>
  <c r="H57" i="8"/>
  <c r="H102" i="8"/>
  <c r="K225" i="8"/>
  <c r="K249" i="8"/>
  <c r="L225" i="8"/>
  <c r="K250" i="8"/>
  <c r="L250" i="8"/>
  <c r="L138" i="8"/>
  <c r="E183" i="8"/>
  <c r="K137" i="8"/>
  <c r="F183" i="8"/>
  <c r="K171" i="8"/>
  <c r="G183" i="8"/>
  <c r="K191" i="8"/>
  <c r="B227" i="8"/>
  <c r="M103" i="8"/>
  <c r="E149" i="8"/>
  <c r="E168" i="8" s="1"/>
  <c r="E184" i="8"/>
  <c r="K192" i="8"/>
  <c r="K321" i="8"/>
  <c r="K107" i="8"/>
  <c r="K173" i="8" s="1"/>
  <c r="H127" i="8"/>
  <c r="F149" i="8"/>
  <c r="F168" i="8" s="1"/>
  <c r="F184" i="8"/>
  <c r="L192" i="8"/>
  <c r="I127" i="8"/>
  <c r="G149" i="8"/>
  <c r="G168" i="8" s="1"/>
  <c r="E176" i="8"/>
  <c r="G184" i="8"/>
  <c r="N251" i="8"/>
  <c r="K68" i="8"/>
  <c r="J127" i="8"/>
  <c r="K127" i="8" s="1"/>
  <c r="L127" i="8" s="1"/>
  <c r="M127" i="8" s="1"/>
  <c r="N127" i="8" s="1"/>
  <c r="O127" i="8" s="1"/>
  <c r="F176" i="8"/>
  <c r="L104" i="8"/>
  <c r="G176" i="8"/>
  <c r="K299" i="8"/>
  <c r="L69" i="8"/>
  <c r="E177" i="8"/>
  <c r="K235" i="8"/>
  <c r="L259" i="8"/>
  <c r="J143" i="8"/>
  <c r="M259" i="8"/>
  <c r="K8" i="8"/>
  <c r="L132" i="7"/>
  <c r="K123" i="7"/>
  <c r="K117" i="7"/>
  <c r="K194" i="7" s="1"/>
  <c r="L133" i="7"/>
  <c r="I129" i="7"/>
  <c r="B311" i="7"/>
  <c r="B310" i="7"/>
  <c r="J129" i="7"/>
  <c r="E19" i="7"/>
  <c r="E21" i="7" s="1"/>
  <c r="J130" i="7"/>
  <c r="G149" i="7"/>
  <c r="G168" i="7" s="1"/>
  <c r="K68" i="7"/>
  <c r="E186" i="7"/>
  <c r="E187" i="7" s="1"/>
  <c r="L104" i="7"/>
  <c r="F186" i="7"/>
  <c r="F187" i="7" s="1"/>
  <c r="K299" i="7"/>
  <c r="I111" i="7"/>
  <c r="E177" i="7"/>
  <c r="K235" i="7"/>
  <c r="K300" i="7"/>
  <c r="H108" i="7"/>
  <c r="J111" i="7"/>
  <c r="F177" i="7"/>
  <c r="L300" i="7"/>
  <c r="G177" i="7"/>
  <c r="K105" i="7"/>
  <c r="K172" i="7" s="1"/>
  <c r="N259" i="7"/>
  <c r="K8" i="7"/>
  <c r="E137" i="7"/>
  <c r="E181" i="7"/>
  <c r="B242" i="7"/>
  <c r="B266" i="7" s="1"/>
  <c r="B312" i="7" s="1"/>
  <c r="N284" i="7"/>
  <c r="K137" i="7"/>
  <c r="F181" i="7"/>
  <c r="G181" i="7"/>
  <c r="K224" i="7"/>
  <c r="H57" i="7"/>
  <c r="H102" i="7"/>
  <c r="K225" i="7"/>
  <c r="K249" i="7"/>
  <c r="L225" i="7"/>
  <c r="K250" i="7"/>
  <c r="K138" i="7"/>
  <c r="K322" i="7" s="1"/>
  <c r="L250" i="7"/>
  <c r="K34" i="7"/>
  <c r="L138" i="7"/>
  <c r="F183" i="7"/>
  <c r="K171" i="7"/>
  <c r="K191" i="7"/>
  <c r="M103" i="7"/>
  <c r="L324" i="6"/>
  <c r="M324" i="6"/>
  <c r="N324" i="6"/>
  <c r="O324" i="6"/>
  <c r="K324" i="6"/>
  <c r="L192" i="7" l="1"/>
  <c r="L9" i="7"/>
  <c r="L33" i="7"/>
  <c r="L69" i="7"/>
  <c r="L58" i="7"/>
  <c r="G138" i="7"/>
  <c r="I103" i="7"/>
  <c r="O251" i="7"/>
  <c r="O273" i="7" s="1"/>
  <c r="F138" i="8"/>
  <c r="H103" i="8"/>
  <c r="E138" i="8" s="1"/>
  <c r="K105" i="8"/>
  <c r="K172" i="8" s="1"/>
  <c r="M284" i="8"/>
  <c r="M273" i="8"/>
  <c r="K145" i="8"/>
  <c r="K212" i="8"/>
  <c r="K213" i="8" s="1"/>
  <c r="M132" i="8"/>
  <c r="L123" i="8"/>
  <c r="L212" i="8" s="1"/>
  <c r="L213" i="8" s="1"/>
  <c r="N133" i="8"/>
  <c r="K151" i="8"/>
  <c r="K152" i="8"/>
  <c r="K204" i="8" s="1"/>
  <c r="K141" i="8"/>
  <c r="M33" i="8"/>
  <c r="M300" i="8"/>
  <c r="M69" i="8"/>
  <c r="M192" i="8"/>
  <c r="N103" i="8"/>
  <c r="M58" i="8"/>
  <c r="M138" i="8"/>
  <c r="M250" i="8"/>
  <c r="M225" i="8"/>
  <c r="M9" i="8"/>
  <c r="H131" i="8"/>
  <c r="H113" i="8"/>
  <c r="J130" i="8"/>
  <c r="J129" i="8"/>
  <c r="E19" i="8"/>
  <c r="E21" i="8" s="1"/>
  <c r="F338" i="8" a="1"/>
  <c r="J113" i="8"/>
  <c r="J131" i="8"/>
  <c r="K140" i="8"/>
  <c r="K148" i="8"/>
  <c r="K153" i="8"/>
  <c r="K205" i="8" s="1"/>
  <c r="K142" i="8"/>
  <c r="K156" i="8"/>
  <c r="K206" i="8" s="1"/>
  <c r="I113" i="8"/>
  <c r="I131" i="8"/>
  <c r="I130" i="8"/>
  <c r="I129" i="8"/>
  <c r="N284" i="8"/>
  <c r="N259" i="8"/>
  <c r="O251" i="8"/>
  <c r="N273" i="8"/>
  <c r="M34" i="8"/>
  <c r="L105" i="8"/>
  <c r="L172" i="8" s="1"/>
  <c r="M104" i="8"/>
  <c r="M117" i="8" s="1"/>
  <c r="M194" i="8" s="1"/>
  <c r="L107" i="8"/>
  <c r="L173" i="8" s="1"/>
  <c r="L171" i="8"/>
  <c r="L106" i="8"/>
  <c r="L108" i="8" s="1"/>
  <c r="K106" i="8"/>
  <c r="K108" i="8" s="1"/>
  <c r="L34" i="7"/>
  <c r="K152" i="7"/>
  <c r="K204" i="7" s="1"/>
  <c r="K141" i="7"/>
  <c r="K151" i="7"/>
  <c r="E24" i="7"/>
  <c r="M50" i="7"/>
  <c r="I165" i="7" s="1"/>
  <c r="L117" i="7"/>
  <c r="L194" i="7" s="1"/>
  <c r="M133" i="7"/>
  <c r="M132" i="7"/>
  <c r="L123" i="7"/>
  <c r="L212" i="7" s="1"/>
  <c r="L213" i="7" s="1"/>
  <c r="J113" i="7"/>
  <c r="J131" i="7"/>
  <c r="F49" i="7"/>
  <c r="F48" i="7"/>
  <c r="F51" i="7"/>
  <c r="F50" i="7"/>
  <c r="L171" i="7"/>
  <c r="L105" i="7"/>
  <c r="L172" i="7" s="1"/>
  <c r="M104" i="7"/>
  <c r="L107" i="7"/>
  <c r="L173" i="7" s="1"/>
  <c r="K145" i="7"/>
  <c r="K212" i="7"/>
  <c r="K213" i="7" s="1"/>
  <c r="L322" i="7"/>
  <c r="H116" i="7"/>
  <c r="H118" i="7" s="1"/>
  <c r="H120" i="7" s="1"/>
  <c r="H111" i="7"/>
  <c r="N103" i="7"/>
  <c r="M33" i="7"/>
  <c r="M58" i="7"/>
  <c r="M138" i="7"/>
  <c r="M250" i="7"/>
  <c r="M225" i="7"/>
  <c r="M9" i="7"/>
  <c r="M300" i="7"/>
  <c r="M69" i="7"/>
  <c r="M192" i="7"/>
  <c r="K142" i="7"/>
  <c r="K156" i="7"/>
  <c r="K206" i="7" s="1"/>
  <c r="K148" i="7"/>
  <c r="K140" i="7"/>
  <c r="K153" i="7"/>
  <c r="K205" i="7" s="1"/>
  <c r="K106" i="7"/>
  <c r="K108" i="7" s="1"/>
  <c r="I113" i="7"/>
  <c r="I131" i="7"/>
  <c r="K284" i="6"/>
  <c r="K273" i="6"/>
  <c r="K259" i="6"/>
  <c r="I258" i="6"/>
  <c r="L251" i="6"/>
  <c r="L273" i="6" s="1"/>
  <c r="O236" i="6"/>
  <c r="N236" i="6"/>
  <c r="M236" i="6"/>
  <c r="L236" i="6"/>
  <c r="K236" i="6"/>
  <c r="B206" i="6"/>
  <c r="B205" i="6"/>
  <c r="B204" i="6"/>
  <c r="B203" i="6"/>
  <c r="B202" i="6"/>
  <c r="B201" i="6"/>
  <c r="B200" i="6"/>
  <c r="B199" i="6"/>
  <c r="G173" i="6"/>
  <c r="F173" i="6"/>
  <c r="E173" i="6"/>
  <c r="B173" i="6"/>
  <c r="G172" i="6"/>
  <c r="G177" i="6" s="1"/>
  <c r="F172" i="6"/>
  <c r="F181" i="6" s="1"/>
  <c r="E172" i="6"/>
  <c r="B172" i="6"/>
  <c r="G171" i="6"/>
  <c r="G178" i="6" s="1"/>
  <c r="F171" i="6"/>
  <c r="F184" i="6" s="1"/>
  <c r="E171" i="6"/>
  <c r="E178" i="6" s="1"/>
  <c r="B171" i="6"/>
  <c r="G163" i="6"/>
  <c r="E22" i="6" s="1"/>
  <c r="F163" i="6"/>
  <c r="E163" i="6"/>
  <c r="B162" i="6"/>
  <c r="B244" i="6" s="1"/>
  <c r="B288" i="6" s="1"/>
  <c r="B314" i="6" s="1"/>
  <c r="B161" i="6"/>
  <c r="B243" i="6" s="1"/>
  <c r="B277" i="6" s="1"/>
  <c r="B313" i="6" s="1"/>
  <c r="B160" i="6"/>
  <c r="B242" i="6" s="1"/>
  <c r="B266" i="6" s="1"/>
  <c r="B312" i="6" s="1"/>
  <c r="B159" i="6"/>
  <c r="B241" i="6" s="1"/>
  <c r="B253" i="6" s="1"/>
  <c r="J158" i="6"/>
  <c r="K158" i="6" s="1"/>
  <c r="L158" i="6" s="1"/>
  <c r="M158" i="6" s="1"/>
  <c r="N158" i="6" s="1"/>
  <c r="O158" i="6" s="1"/>
  <c r="J156" i="6"/>
  <c r="G154" i="6"/>
  <c r="F154" i="6"/>
  <c r="E154" i="6"/>
  <c r="J153" i="6"/>
  <c r="J152" i="6"/>
  <c r="J151" i="6"/>
  <c r="J148" i="6"/>
  <c r="J145" i="6"/>
  <c r="G143" i="6"/>
  <c r="F143" i="6"/>
  <c r="E143" i="6"/>
  <c r="E149" i="6" s="1"/>
  <c r="J142" i="6"/>
  <c r="J141" i="6"/>
  <c r="J140" i="6"/>
  <c r="J139" i="6"/>
  <c r="K301" i="6" s="1"/>
  <c r="J133" i="6"/>
  <c r="K133" i="6" s="1"/>
  <c r="L133" i="6" s="1"/>
  <c r="I133" i="6"/>
  <c r="H133" i="6"/>
  <c r="J132" i="6"/>
  <c r="K132" i="6" s="1"/>
  <c r="L132" i="6" s="1"/>
  <c r="I132" i="6"/>
  <c r="H132" i="6"/>
  <c r="J128" i="6"/>
  <c r="K128" i="6" s="1"/>
  <c r="L128" i="6" s="1"/>
  <c r="M128" i="6" s="1"/>
  <c r="N128" i="6" s="1"/>
  <c r="O128" i="6" s="1"/>
  <c r="I128" i="6"/>
  <c r="H128" i="6"/>
  <c r="J126" i="6"/>
  <c r="I126" i="6"/>
  <c r="J106" i="6"/>
  <c r="J108" i="6" s="1"/>
  <c r="J116" i="6" s="1"/>
  <c r="J118" i="6" s="1"/>
  <c r="J120" i="6" s="1"/>
  <c r="I106" i="6"/>
  <c r="I108" i="6" s="1"/>
  <c r="H106" i="6"/>
  <c r="H108" i="6" s="1"/>
  <c r="K104" i="6"/>
  <c r="K103" i="6"/>
  <c r="K225" i="6" s="1"/>
  <c r="B89" i="6"/>
  <c r="B87" i="6"/>
  <c r="B85" i="6"/>
  <c r="B84" i="6"/>
  <c r="B83" i="6"/>
  <c r="E28" i="6"/>
  <c r="F37" i="6"/>
  <c r="F36" i="6"/>
  <c r="E23" i="6"/>
  <c r="F35" i="6"/>
  <c r="J34" i="6"/>
  <c r="I34" i="6" s="1"/>
  <c r="K34" i="6" s="1"/>
  <c r="F34" i="6"/>
  <c r="K32" i="6"/>
  <c r="F138" i="7" l="1"/>
  <c r="H103" i="7"/>
  <c r="E138" i="7" s="1"/>
  <c r="O259" i="7"/>
  <c r="O284" i="7"/>
  <c r="L116" i="8"/>
  <c r="L118" i="8" s="1"/>
  <c r="L120" i="8" s="1"/>
  <c r="K200" i="8"/>
  <c r="L140" i="8"/>
  <c r="L153" i="8"/>
  <c r="L205" i="8" s="1"/>
  <c r="L142" i="8"/>
  <c r="L156" i="8"/>
  <c r="L206" i="8" s="1"/>
  <c r="L148" i="8"/>
  <c r="K154" i="8"/>
  <c r="K203" i="8"/>
  <c r="L201" i="8"/>
  <c r="K201" i="8"/>
  <c r="L199" i="8"/>
  <c r="K199" i="8"/>
  <c r="K207" i="8" s="1"/>
  <c r="M50" i="8"/>
  <c r="I165" i="8" s="1"/>
  <c r="E24" i="8"/>
  <c r="O133" i="8"/>
  <c r="N33" i="8"/>
  <c r="N300" i="8"/>
  <c r="N69" i="8"/>
  <c r="N9" i="8"/>
  <c r="N192" i="8"/>
  <c r="O103" i="8"/>
  <c r="N58" i="8"/>
  <c r="N138" i="8"/>
  <c r="N250" i="8"/>
  <c r="N225" i="8"/>
  <c r="L202" i="8"/>
  <c r="K202" i="8"/>
  <c r="O259" i="8"/>
  <c r="O273" i="8"/>
  <c r="O284" i="8"/>
  <c r="F51" i="8"/>
  <c r="F50" i="8"/>
  <c r="F49" i="8"/>
  <c r="F48" i="8"/>
  <c r="M105" i="8"/>
  <c r="M172" i="8" s="1"/>
  <c r="N104" i="8"/>
  <c r="N117" i="8" s="1"/>
  <c r="N194" i="8" s="1"/>
  <c r="M107" i="8"/>
  <c r="M173" i="8" s="1"/>
  <c r="M171" i="8"/>
  <c r="N132" i="8"/>
  <c r="M123" i="8"/>
  <c r="M212" i="8" s="1"/>
  <c r="M213" i="8" s="1"/>
  <c r="N34" i="8"/>
  <c r="F342" i="8"/>
  <c r="F341" i="8"/>
  <c r="F340" i="8"/>
  <c r="F339" i="8"/>
  <c r="F338" i="8"/>
  <c r="L145" i="8"/>
  <c r="M145" i="8" s="1"/>
  <c r="K116" i="8"/>
  <c r="K118" i="8" s="1"/>
  <c r="K120" i="8" s="1"/>
  <c r="L151" i="8"/>
  <c r="L141" i="8"/>
  <c r="L200" i="8" s="1"/>
  <c r="L152" i="8"/>
  <c r="L204" i="8" s="1"/>
  <c r="M117" i="7"/>
  <c r="M194" i="7" s="1"/>
  <c r="N133" i="7"/>
  <c r="H129" i="7"/>
  <c r="I130" i="7"/>
  <c r="K200" i="7"/>
  <c r="K202" i="7"/>
  <c r="K116" i="7"/>
  <c r="K118" i="7" s="1"/>
  <c r="K120" i="7" s="1"/>
  <c r="M48" i="7"/>
  <c r="E27" i="7"/>
  <c r="E29" i="7" s="1"/>
  <c r="H146" i="7" s="1"/>
  <c r="J146" i="7" s="1"/>
  <c r="L152" i="7"/>
  <c r="L204" i="7" s="1"/>
  <c r="L141" i="7"/>
  <c r="L200" i="7" s="1"/>
  <c r="L151" i="7"/>
  <c r="L106" i="7"/>
  <c r="L108" i="7" s="1"/>
  <c r="M34" i="7"/>
  <c r="N132" i="7"/>
  <c r="M123" i="7"/>
  <c r="M212" i="7" s="1"/>
  <c r="M213" i="7" s="1"/>
  <c r="L142" i="7"/>
  <c r="L201" i="7" s="1"/>
  <c r="L156" i="7"/>
  <c r="L206" i="7" s="1"/>
  <c r="L148" i="7"/>
  <c r="L202" i="7" s="1"/>
  <c r="L140" i="7"/>
  <c r="L153" i="7"/>
  <c r="L205" i="7" s="1"/>
  <c r="K154" i="7"/>
  <c r="K203" i="7"/>
  <c r="M322" i="7"/>
  <c r="L145" i="7"/>
  <c r="J37" i="7"/>
  <c r="H162" i="7"/>
  <c r="J162" i="7" s="1"/>
  <c r="K289" i="7" s="1"/>
  <c r="K199" i="7"/>
  <c r="M171" i="7"/>
  <c r="M105" i="7"/>
  <c r="M172" i="7" s="1"/>
  <c r="N104" i="7"/>
  <c r="M107" i="7"/>
  <c r="M173" i="7" s="1"/>
  <c r="H159" i="7"/>
  <c r="J159" i="7" s="1"/>
  <c r="K201" i="7"/>
  <c r="N58" i="7"/>
  <c r="N9" i="7"/>
  <c r="N138" i="7"/>
  <c r="N250" i="7"/>
  <c r="N225" i="7"/>
  <c r="N33" i="7"/>
  <c r="N300" i="7"/>
  <c r="N69" i="7"/>
  <c r="N192" i="7"/>
  <c r="O103" i="7"/>
  <c r="H160" i="7"/>
  <c r="J160" i="7" s="1"/>
  <c r="K267" i="7" s="1"/>
  <c r="J35" i="7"/>
  <c r="J36" i="7"/>
  <c r="H161" i="7"/>
  <c r="J161" i="7" s="1"/>
  <c r="K278" i="7" s="1"/>
  <c r="H113" i="7"/>
  <c r="H131" i="7"/>
  <c r="E183" i="6"/>
  <c r="F183" i="6"/>
  <c r="K249" i="6"/>
  <c r="K321" i="6"/>
  <c r="E182" i="6"/>
  <c r="G166" i="6"/>
  <c r="G181" i="6"/>
  <c r="H127" i="6"/>
  <c r="J127" i="6"/>
  <c r="K127" i="6" s="1"/>
  <c r="L127" i="6" s="1"/>
  <c r="M127" i="6" s="1"/>
  <c r="N127" i="6" s="1"/>
  <c r="O127" i="6" s="1"/>
  <c r="E166" i="6"/>
  <c r="E168" i="6" s="1"/>
  <c r="G186" i="6"/>
  <c r="G187" i="6" s="1"/>
  <c r="J143" i="6"/>
  <c r="F166" i="6"/>
  <c r="E186" i="6"/>
  <c r="E187" i="6" s="1"/>
  <c r="F186" i="6"/>
  <c r="F187" i="6" s="1"/>
  <c r="F149" i="6"/>
  <c r="G149" i="6"/>
  <c r="J154" i="6"/>
  <c r="F182" i="6"/>
  <c r="F176" i="6"/>
  <c r="G182" i="6"/>
  <c r="F178" i="6"/>
  <c r="M132" i="6"/>
  <c r="M133" i="6"/>
  <c r="H116" i="6"/>
  <c r="H118" i="6" s="1"/>
  <c r="H120" i="6" s="1"/>
  <c r="H129" i="6" s="1"/>
  <c r="H111" i="6"/>
  <c r="I116" i="6"/>
  <c r="I118" i="6" s="1"/>
  <c r="I120" i="6" s="1"/>
  <c r="I111" i="6"/>
  <c r="B310" i="6"/>
  <c r="B311" i="6"/>
  <c r="J129" i="6"/>
  <c r="E19" i="6"/>
  <c r="E21" i="6" s="1"/>
  <c r="L34" i="6"/>
  <c r="K250" i="6"/>
  <c r="K107" i="6"/>
  <c r="K173" i="6" s="1"/>
  <c r="I127" i="6"/>
  <c r="K69" i="6"/>
  <c r="K171" i="6"/>
  <c r="G183" i="6"/>
  <c r="K191" i="6"/>
  <c r="B227" i="6"/>
  <c r="K299" i="6"/>
  <c r="L104" i="6"/>
  <c r="E184" i="6"/>
  <c r="K192" i="6"/>
  <c r="K300" i="6"/>
  <c r="J111" i="6"/>
  <c r="M251" i="6"/>
  <c r="E176" i="6"/>
  <c r="G184" i="6"/>
  <c r="G176" i="6"/>
  <c r="L284" i="6"/>
  <c r="E177" i="6"/>
  <c r="K235" i="6"/>
  <c r="K8" i="6"/>
  <c r="E137" i="6"/>
  <c r="F177" i="6"/>
  <c r="K58" i="6"/>
  <c r="J58" i="6" s="1"/>
  <c r="I58" i="6" s="1"/>
  <c r="H58" i="6" s="1"/>
  <c r="K9" i="6"/>
  <c r="K137" i="6"/>
  <c r="L259" i="6"/>
  <c r="K68" i="6"/>
  <c r="K117" i="6"/>
  <c r="K194" i="6" s="1"/>
  <c r="H57" i="6"/>
  <c r="K123" i="6"/>
  <c r="K212" i="6" s="1"/>
  <c r="K213" i="6" s="1"/>
  <c r="H102" i="6"/>
  <c r="K138" i="6"/>
  <c r="K322" i="6" s="1"/>
  <c r="E181" i="6"/>
  <c r="J103" i="6"/>
  <c r="K224" i="6"/>
  <c r="K33" i="6"/>
  <c r="L103" i="6"/>
  <c r="L203" i="8" l="1"/>
  <c r="L154" i="8"/>
  <c r="L207" i="8"/>
  <c r="M151" i="8"/>
  <c r="M152" i="8"/>
  <c r="M204" i="8" s="1"/>
  <c r="M141" i="8"/>
  <c r="J36" i="8"/>
  <c r="H161" i="8"/>
  <c r="J161" i="8" s="1"/>
  <c r="K278" i="8" s="1"/>
  <c r="O34" i="8"/>
  <c r="K130" i="8"/>
  <c r="K129" i="8"/>
  <c r="E27" i="8"/>
  <c r="E29" i="8" s="1"/>
  <c r="H146" i="8" s="1"/>
  <c r="J146" i="8" s="1"/>
  <c r="M48" i="8"/>
  <c r="O132" i="8"/>
  <c r="N123" i="8"/>
  <c r="N212" i="8" s="1"/>
  <c r="N213" i="8" s="1"/>
  <c r="O33" i="8"/>
  <c r="O300" i="8"/>
  <c r="O69" i="8"/>
  <c r="O192" i="8"/>
  <c r="O58" i="8"/>
  <c r="O138" i="8"/>
  <c r="O250" i="8"/>
  <c r="O9" i="8"/>
  <c r="O225" i="8"/>
  <c r="J37" i="8"/>
  <c r="H162" i="8"/>
  <c r="J162" i="8" s="1"/>
  <c r="K289" i="8" s="1"/>
  <c r="H159" i="8"/>
  <c r="J159" i="8" s="1"/>
  <c r="M106" i="8"/>
  <c r="M108" i="8" s="1"/>
  <c r="M140" i="8"/>
  <c r="M199" i="8" s="1"/>
  <c r="M153" i="8"/>
  <c r="M205" i="8" s="1"/>
  <c r="M142" i="8"/>
  <c r="M156" i="8"/>
  <c r="M206" i="8" s="1"/>
  <c r="M148" i="8"/>
  <c r="M202" i="8" s="1"/>
  <c r="J35" i="8"/>
  <c r="H160" i="8"/>
  <c r="J160" i="8" s="1"/>
  <c r="K267" i="8" s="1"/>
  <c r="M200" i="8"/>
  <c r="N105" i="8"/>
  <c r="N172" i="8" s="1"/>
  <c r="O104" i="8"/>
  <c r="O117" i="8" s="1"/>
  <c r="O194" i="8" s="1"/>
  <c r="N107" i="8"/>
  <c r="N173" i="8" s="1"/>
  <c r="N171" i="8"/>
  <c r="L130" i="8"/>
  <c r="L129" i="8"/>
  <c r="N34" i="7"/>
  <c r="K146" i="7"/>
  <c r="L146" i="7" s="1"/>
  <c r="M146" i="7" s="1"/>
  <c r="N146" i="7" s="1"/>
  <c r="O146" i="7" s="1"/>
  <c r="L116" i="7"/>
  <c r="L118" i="7" s="1"/>
  <c r="L120" i="7" s="1"/>
  <c r="K129" i="7"/>
  <c r="K130" i="7"/>
  <c r="I36" i="7"/>
  <c r="K36" i="7" s="1"/>
  <c r="L36" i="7" s="1"/>
  <c r="M36" i="7" s="1"/>
  <c r="N36" i="7" s="1"/>
  <c r="O36" i="7" s="1"/>
  <c r="M152" i="7"/>
  <c r="M204" i="7" s="1"/>
  <c r="M141" i="7"/>
  <c r="M151" i="7"/>
  <c r="N123" i="7"/>
  <c r="N212" i="7" s="1"/>
  <c r="N213" i="7" s="1"/>
  <c r="O132" i="7"/>
  <c r="I37" i="7"/>
  <c r="K37" i="7" s="1"/>
  <c r="L37" i="7" s="1"/>
  <c r="M37" i="7" s="1"/>
  <c r="N37" i="7" s="1"/>
  <c r="O37" i="7" s="1"/>
  <c r="I35" i="7"/>
  <c r="K35" i="7" s="1"/>
  <c r="J39" i="7"/>
  <c r="M49" i="7"/>
  <c r="H147" i="7" s="1"/>
  <c r="J147" i="7" s="1"/>
  <c r="J149" i="7" s="1"/>
  <c r="M106" i="7"/>
  <c r="M108" i="7" s="1"/>
  <c r="M199" i="7"/>
  <c r="K268" i="7"/>
  <c r="K227" i="7" s="1"/>
  <c r="K228" i="7" s="1"/>
  <c r="M156" i="7"/>
  <c r="M206" i="7" s="1"/>
  <c r="M148" i="7"/>
  <c r="M140" i="7"/>
  <c r="M153" i="7"/>
  <c r="M205" i="7" s="1"/>
  <c r="M142" i="7"/>
  <c r="M202" i="7"/>
  <c r="M145" i="7"/>
  <c r="N322" i="7"/>
  <c r="K254" i="7"/>
  <c r="J163" i="7"/>
  <c r="N105" i="7"/>
  <c r="N172" i="7" s="1"/>
  <c r="O104" i="7"/>
  <c r="N107" i="7"/>
  <c r="N173" i="7" s="1"/>
  <c r="N171" i="7"/>
  <c r="K207" i="7"/>
  <c r="N117" i="7"/>
  <c r="N194" i="7" s="1"/>
  <c r="O133" i="7"/>
  <c r="L154" i="7"/>
  <c r="L203" i="7"/>
  <c r="O138" i="7"/>
  <c r="O250" i="7"/>
  <c r="O9" i="7"/>
  <c r="O225" i="7"/>
  <c r="O33" i="7"/>
  <c r="O300" i="7"/>
  <c r="O69" i="7"/>
  <c r="O192" i="7"/>
  <c r="O58" i="7"/>
  <c r="L199" i="7"/>
  <c r="M201" i="7"/>
  <c r="L322" i="6"/>
  <c r="G168" i="6"/>
  <c r="K105" i="6"/>
  <c r="K172" i="6" s="1"/>
  <c r="K141" i="6" s="1"/>
  <c r="F168" i="6"/>
  <c r="K145" i="6"/>
  <c r="L105" i="6"/>
  <c r="L172" i="6" s="1"/>
  <c r="L171" i="6"/>
  <c r="M104" i="6"/>
  <c r="M117" i="6" s="1"/>
  <c r="M194" i="6" s="1"/>
  <c r="L107" i="6"/>
  <c r="L173" i="6" s="1"/>
  <c r="I131" i="6"/>
  <c r="I113" i="6"/>
  <c r="I129" i="6"/>
  <c r="I130" i="6"/>
  <c r="L58" i="6"/>
  <c r="L138" i="6"/>
  <c r="L33" i="6"/>
  <c r="L9" i="6"/>
  <c r="L225" i="6"/>
  <c r="M103" i="6"/>
  <c r="L300" i="6"/>
  <c r="L192" i="6"/>
  <c r="L69" i="6"/>
  <c r="L250" i="6"/>
  <c r="H113" i="6"/>
  <c r="H131" i="6"/>
  <c r="N133" i="6"/>
  <c r="K156" i="6"/>
  <c r="K206" i="6" s="1"/>
  <c r="K142" i="6"/>
  <c r="K148" i="6"/>
  <c r="K140" i="6"/>
  <c r="K153" i="6"/>
  <c r="K205" i="6" s="1"/>
  <c r="L117" i="6"/>
  <c r="L194" i="6" s="1"/>
  <c r="M273" i="6"/>
  <c r="M259" i="6"/>
  <c r="M284" i="6"/>
  <c r="N251" i="6"/>
  <c r="J113" i="6"/>
  <c r="J131" i="6"/>
  <c r="N132" i="6"/>
  <c r="I103" i="6"/>
  <c r="G138" i="6"/>
  <c r="J130" i="6"/>
  <c r="L123" i="6"/>
  <c r="L212" i="6" s="1"/>
  <c r="L213" i="6" s="1"/>
  <c r="M34" i="6"/>
  <c r="F49" i="6"/>
  <c r="F48" i="6"/>
  <c r="F51" i="6"/>
  <c r="F50" i="6"/>
  <c r="E24" i="6"/>
  <c r="M50" i="6"/>
  <c r="I165" i="6" s="1"/>
  <c r="L207" i="7" l="1"/>
  <c r="N145" i="7"/>
  <c r="N145" i="8"/>
  <c r="N106" i="8"/>
  <c r="N108" i="8" s="1"/>
  <c r="N116" i="8"/>
  <c r="N118" i="8" s="1"/>
  <c r="N120" i="8" s="1"/>
  <c r="K254" i="8"/>
  <c r="J163" i="8"/>
  <c r="O107" i="8"/>
  <c r="O173" i="8" s="1"/>
  <c r="O171" i="8"/>
  <c r="O105" i="8"/>
  <c r="O172" i="8" s="1"/>
  <c r="I37" i="8"/>
  <c r="K37" i="8" s="1"/>
  <c r="L37" i="8" s="1"/>
  <c r="M37" i="8" s="1"/>
  <c r="N37" i="8" s="1"/>
  <c r="O37" i="8" s="1"/>
  <c r="I36" i="8"/>
  <c r="K36" i="8" s="1"/>
  <c r="L36" i="8" s="1"/>
  <c r="M36" i="8" s="1"/>
  <c r="N36" i="8" s="1"/>
  <c r="O36" i="8" s="1"/>
  <c r="N140" i="8"/>
  <c r="N153" i="8"/>
  <c r="N205" i="8" s="1"/>
  <c r="N142" i="8"/>
  <c r="N201" i="8" s="1"/>
  <c r="N156" i="8"/>
  <c r="N206" i="8" s="1"/>
  <c r="N148" i="8"/>
  <c r="N202" i="8" s="1"/>
  <c r="N152" i="8"/>
  <c r="N204" i="8" s="1"/>
  <c r="N141" i="8"/>
  <c r="N200" i="8" s="1"/>
  <c r="N151" i="8"/>
  <c r="I35" i="8"/>
  <c r="K35" i="8" s="1"/>
  <c r="M49" i="8"/>
  <c r="H147" i="8" s="1"/>
  <c r="J147" i="8" s="1"/>
  <c r="J39" i="8"/>
  <c r="O123" i="8"/>
  <c r="O212" i="8" s="1"/>
  <c r="O213" i="8" s="1"/>
  <c r="M203" i="8"/>
  <c r="M154" i="8"/>
  <c r="M53" i="8"/>
  <c r="F52" i="8" s="1"/>
  <c r="K146" i="8"/>
  <c r="L146" i="8" s="1"/>
  <c r="M146" i="8" s="1"/>
  <c r="N146" i="8" s="1"/>
  <c r="O146" i="8" s="1"/>
  <c r="J149" i="8"/>
  <c r="K268" i="8"/>
  <c r="K227" i="8" s="1"/>
  <c r="K228" i="8" s="1"/>
  <c r="M116" i="8"/>
  <c r="M118" i="8" s="1"/>
  <c r="M120" i="8" s="1"/>
  <c r="M201" i="8"/>
  <c r="M207" i="8" s="1"/>
  <c r="K232" i="7"/>
  <c r="K216" i="7"/>
  <c r="N106" i="7"/>
  <c r="N108" i="7" s="1"/>
  <c r="O105" i="7"/>
  <c r="O172" i="7" s="1"/>
  <c r="O107" i="7"/>
  <c r="O173" i="7" s="1"/>
  <c r="O171" i="7"/>
  <c r="L35" i="7"/>
  <c r="K39" i="7"/>
  <c r="K40" i="7" s="1"/>
  <c r="K195" i="7" s="1"/>
  <c r="M53" i="7"/>
  <c r="F52" i="7" s="1"/>
  <c r="O322" i="7"/>
  <c r="F338" i="7" a="1"/>
  <c r="L129" i="7"/>
  <c r="L130" i="7"/>
  <c r="O123" i="7"/>
  <c r="O212" i="7" s="1"/>
  <c r="O213" i="7" s="1"/>
  <c r="N152" i="7"/>
  <c r="N204" i="7" s="1"/>
  <c r="N141" i="7"/>
  <c r="N151" i="7"/>
  <c r="M200" i="7"/>
  <c r="M207" i="7" s="1"/>
  <c r="O117" i="7"/>
  <c r="O194" i="7" s="1"/>
  <c r="N156" i="7"/>
  <c r="N206" i="7" s="1"/>
  <c r="N148" i="7"/>
  <c r="N202" i="7" s="1"/>
  <c r="N140" i="7"/>
  <c r="N199" i="7" s="1"/>
  <c r="N153" i="7"/>
  <c r="N205" i="7" s="1"/>
  <c r="N142" i="7"/>
  <c r="N201" i="7" s="1"/>
  <c r="M116" i="7"/>
  <c r="M118" i="7" s="1"/>
  <c r="M120" i="7" s="1"/>
  <c r="M154" i="7"/>
  <c r="M203" i="7"/>
  <c r="O34" i="7"/>
  <c r="M123" i="6"/>
  <c r="M212" i="6" s="1"/>
  <c r="M213" i="6" s="1"/>
  <c r="M322" i="6"/>
  <c r="K106" i="6"/>
  <c r="K108" i="6" s="1"/>
  <c r="K116" i="6" s="1"/>
  <c r="K118" i="6" s="1"/>
  <c r="K120" i="6" s="1"/>
  <c r="K323" i="6" s="1"/>
  <c r="K325" i="6" s="1"/>
  <c r="K152" i="6"/>
  <c r="K204" i="6" s="1"/>
  <c r="K151" i="6"/>
  <c r="K203" i="6" s="1"/>
  <c r="K202" i="6"/>
  <c r="M48" i="6"/>
  <c r="E27" i="6"/>
  <c r="E29" i="6" s="1"/>
  <c r="H146" i="6" s="1"/>
  <c r="J146" i="6" s="1"/>
  <c r="J37" i="6"/>
  <c r="H162" i="6"/>
  <c r="J162" i="6" s="1"/>
  <c r="K289" i="6" s="1"/>
  <c r="H160" i="6"/>
  <c r="J160" i="6" s="1"/>
  <c r="K267" i="6" s="1"/>
  <c r="J35" i="6"/>
  <c r="H161" i="6"/>
  <c r="J161" i="6" s="1"/>
  <c r="K278" i="6" s="1"/>
  <c r="J36" i="6"/>
  <c r="N34" i="6"/>
  <c r="M9" i="6"/>
  <c r="M58" i="6"/>
  <c r="M138" i="6"/>
  <c r="M300" i="6"/>
  <c r="M192" i="6"/>
  <c r="M69" i="6"/>
  <c r="M250" i="6"/>
  <c r="M225" i="6"/>
  <c r="N103" i="6"/>
  <c r="M33" i="6"/>
  <c r="K199" i="6"/>
  <c r="H159" i="6"/>
  <c r="J159" i="6" s="1"/>
  <c r="L145" i="6"/>
  <c r="K200" i="6"/>
  <c r="O132" i="6"/>
  <c r="M105" i="6"/>
  <c r="M172" i="6" s="1"/>
  <c r="M107" i="6"/>
  <c r="M173" i="6" s="1"/>
  <c r="M171" i="6"/>
  <c r="N104" i="6"/>
  <c r="N117" i="6" s="1"/>
  <c r="N194" i="6" s="1"/>
  <c r="K201" i="6"/>
  <c r="H103" i="6"/>
  <c r="E138" i="6" s="1"/>
  <c r="F138" i="6"/>
  <c r="L156" i="6"/>
  <c r="L206" i="6" s="1"/>
  <c r="L148" i="6"/>
  <c r="L140" i="6"/>
  <c r="L153" i="6"/>
  <c r="L205" i="6" s="1"/>
  <c r="L142" i="6"/>
  <c r="L201" i="6" s="1"/>
  <c r="O133" i="6"/>
  <c r="N273" i="6"/>
  <c r="N259" i="6"/>
  <c r="O251" i="6"/>
  <c r="N284" i="6"/>
  <c r="L152" i="6"/>
  <c r="L141" i="6"/>
  <c r="L200" i="6" s="1"/>
  <c r="L151" i="6"/>
  <c r="L106" i="6"/>
  <c r="L108" i="6" s="1"/>
  <c r="L35" i="8" l="1"/>
  <c r="K39" i="8"/>
  <c r="H165" i="8"/>
  <c r="J165" i="8" s="1"/>
  <c r="E52" i="8"/>
  <c r="E53" i="8" s="1"/>
  <c r="F53" i="8"/>
  <c r="G52" i="8" s="1"/>
  <c r="M130" i="8"/>
  <c r="M129" i="8"/>
  <c r="O152" i="8"/>
  <c r="O204" i="8" s="1"/>
  <c r="O141" i="8"/>
  <c r="O200" i="8" s="1"/>
  <c r="O151" i="8"/>
  <c r="J168" i="8"/>
  <c r="O106" i="8"/>
  <c r="O108" i="8" s="1"/>
  <c r="N154" i="8"/>
  <c r="N203" i="8"/>
  <c r="O153" i="8"/>
  <c r="O205" i="8" s="1"/>
  <c r="O142" i="8"/>
  <c r="O201" i="8" s="1"/>
  <c r="O156" i="8"/>
  <c r="O206" i="8" s="1"/>
  <c r="O148" i="8"/>
  <c r="O202" i="8" s="1"/>
  <c r="O140" i="8"/>
  <c r="O199" i="8" s="1"/>
  <c r="K232" i="8"/>
  <c r="K216" i="8"/>
  <c r="J166" i="8"/>
  <c r="N199" i="8"/>
  <c r="K40" i="8"/>
  <c r="K195" i="8" s="1"/>
  <c r="O145" i="8"/>
  <c r="N130" i="8"/>
  <c r="N129" i="8"/>
  <c r="O145" i="7"/>
  <c r="M35" i="7"/>
  <c r="L39" i="7"/>
  <c r="O152" i="7"/>
  <c r="O204" i="7" s="1"/>
  <c r="O141" i="7"/>
  <c r="O200" i="7" s="1"/>
  <c r="O151" i="7"/>
  <c r="O106" i="7"/>
  <c r="O108" i="7" s="1"/>
  <c r="F342" i="7"/>
  <c r="F341" i="7"/>
  <c r="F340" i="7"/>
  <c r="F339" i="7"/>
  <c r="F338" i="7"/>
  <c r="N116" i="7"/>
  <c r="N118" i="7" s="1"/>
  <c r="N120" i="7" s="1"/>
  <c r="M130" i="7"/>
  <c r="M129" i="7"/>
  <c r="H165" i="7"/>
  <c r="J165" i="7" s="1"/>
  <c r="E52" i="7"/>
  <c r="E53" i="7" s="1"/>
  <c r="F53" i="7"/>
  <c r="N200" i="7"/>
  <c r="O156" i="7"/>
  <c r="O206" i="7" s="1"/>
  <c r="O148" i="7"/>
  <c r="O202" i="7" s="1"/>
  <c r="O140" i="7"/>
  <c r="O199" i="7" s="1"/>
  <c r="O153" i="7"/>
  <c r="O205" i="7" s="1"/>
  <c r="O142" i="7"/>
  <c r="O201" i="7" s="1"/>
  <c r="N154" i="7"/>
  <c r="N203" i="7"/>
  <c r="L40" i="7"/>
  <c r="L195" i="7" s="1"/>
  <c r="K147" i="7"/>
  <c r="M145" i="6"/>
  <c r="N322" i="6"/>
  <c r="L204" i="6"/>
  <c r="K154" i="6"/>
  <c r="K129" i="6"/>
  <c r="K130" i="6"/>
  <c r="K268" i="6"/>
  <c r="K227" i="6" s="1"/>
  <c r="K228" i="6" s="1"/>
  <c r="M156" i="6"/>
  <c r="M206" i="6" s="1"/>
  <c r="M148" i="6"/>
  <c r="M140" i="6"/>
  <c r="M153" i="6"/>
  <c r="M205" i="6" s="1"/>
  <c r="M142" i="6"/>
  <c r="M201" i="6" s="1"/>
  <c r="M152" i="6"/>
  <c r="M204" i="6" s="1"/>
  <c r="M141" i="6"/>
  <c r="M200" i="6" s="1"/>
  <c r="M151" i="6"/>
  <c r="O34" i="6"/>
  <c r="I37" i="6"/>
  <c r="K37" i="6" s="1"/>
  <c r="L37" i="6" s="1"/>
  <c r="M37" i="6" s="1"/>
  <c r="N37" i="6" s="1"/>
  <c r="O37" i="6" s="1"/>
  <c r="L116" i="6"/>
  <c r="L118" i="6" s="1"/>
  <c r="L120" i="6" s="1"/>
  <c r="L323" i="6" s="1"/>
  <c r="L325" i="6" s="1"/>
  <c r="K146" i="6"/>
  <c r="L146" i="6" s="1"/>
  <c r="M146" i="6" s="1"/>
  <c r="N146" i="6" s="1"/>
  <c r="O146" i="6" s="1"/>
  <c r="N105" i="6"/>
  <c r="N172" i="6" s="1"/>
  <c r="N171" i="6"/>
  <c r="O104" i="6"/>
  <c r="O123" i="6" s="1"/>
  <c r="O212" i="6" s="1"/>
  <c r="O213" i="6" s="1"/>
  <c r="N107" i="6"/>
  <c r="N173" i="6" s="1"/>
  <c r="K207" i="6"/>
  <c r="I36" i="6"/>
  <c r="K36" i="6" s="1"/>
  <c r="L36" i="6" s="1"/>
  <c r="M36" i="6" s="1"/>
  <c r="N36" i="6" s="1"/>
  <c r="O36" i="6" s="1"/>
  <c r="L199" i="6"/>
  <c r="L203" i="6"/>
  <c r="L154" i="6"/>
  <c r="K254" i="6"/>
  <c r="J163" i="6"/>
  <c r="L202" i="6"/>
  <c r="N123" i="6"/>
  <c r="N212" i="6" s="1"/>
  <c r="N213" i="6" s="1"/>
  <c r="I35" i="6"/>
  <c r="K35" i="6" s="1"/>
  <c r="J39" i="6"/>
  <c r="M49" i="6"/>
  <c r="H147" i="6" s="1"/>
  <c r="J147" i="6" s="1"/>
  <c r="J149" i="6" s="1"/>
  <c r="N138" i="6"/>
  <c r="N9" i="6"/>
  <c r="N300" i="6"/>
  <c r="N192" i="6"/>
  <c r="N69" i="6"/>
  <c r="N250" i="6"/>
  <c r="N225" i="6"/>
  <c r="O103" i="6"/>
  <c r="N33" i="6"/>
  <c r="N58" i="6"/>
  <c r="O273" i="6"/>
  <c r="O259" i="6"/>
  <c r="O284" i="6"/>
  <c r="M106" i="6"/>
  <c r="M108" i="6" s="1"/>
  <c r="N207" i="7" l="1"/>
  <c r="N207" i="8"/>
  <c r="G48" i="8"/>
  <c r="G49" i="8"/>
  <c r="G51" i="8"/>
  <c r="G50" i="8"/>
  <c r="O154" i="8"/>
  <c r="O203" i="8"/>
  <c r="O207" i="8" s="1"/>
  <c r="K147" i="8"/>
  <c r="O116" i="8"/>
  <c r="O118" i="8" s="1"/>
  <c r="O120" i="8" s="1"/>
  <c r="M35" i="8"/>
  <c r="L39" i="8"/>
  <c r="L40" i="8" s="1"/>
  <c r="L195" i="8" s="1"/>
  <c r="G50" i="7"/>
  <c r="G51" i="7"/>
  <c r="G49" i="7"/>
  <c r="G48" i="7"/>
  <c r="N130" i="7"/>
  <c r="N129" i="7"/>
  <c r="O154" i="7"/>
  <c r="O203" i="7"/>
  <c r="O207" i="7" s="1"/>
  <c r="J166" i="7"/>
  <c r="J168" i="7" s="1"/>
  <c r="L147" i="7"/>
  <c r="N35" i="7"/>
  <c r="M39" i="7"/>
  <c r="G52" i="7"/>
  <c r="O116" i="7"/>
  <c r="O118" i="7" s="1"/>
  <c r="O120" i="7" s="1"/>
  <c r="O322" i="6"/>
  <c r="N106" i="6"/>
  <c r="N108" i="6" s="1"/>
  <c r="N116" i="6" s="1"/>
  <c r="N118" i="6" s="1"/>
  <c r="N120" i="6" s="1"/>
  <c r="N323" i="6" s="1"/>
  <c r="N325" i="6" s="1"/>
  <c r="M53" i="6"/>
  <c r="F52" i="6" s="1"/>
  <c r="L35" i="6"/>
  <c r="K39" i="6"/>
  <c r="K40" i="6" s="1"/>
  <c r="K195" i="6" s="1"/>
  <c r="L130" i="6"/>
  <c r="L129" i="6"/>
  <c r="O9" i="6"/>
  <c r="O69" i="6"/>
  <c r="O300" i="6"/>
  <c r="O192" i="6"/>
  <c r="O225" i="6"/>
  <c r="O250" i="6"/>
  <c r="O33" i="6"/>
  <c r="O58" i="6"/>
  <c r="O138" i="6"/>
  <c r="L207" i="6"/>
  <c r="M116" i="6"/>
  <c r="M118" i="6" s="1"/>
  <c r="M120" i="6" s="1"/>
  <c r="M323" i="6" s="1"/>
  <c r="M325" i="6" s="1"/>
  <c r="N145" i="6"/>
  <c r="M203" i="6"/>
  <c r="M154" i="6"/>
  <c r="M199" i="6"/>
  <c r="M202" i="6"/>
  <c r="O105" i="6"/>
  <c r="O172" i="6" s="1"/>
  <c r="O171" i="6"/>
  <c r="O107" i="6"/>
  <c r="O173" i="6" s="1"/>
  <c r="O117" i="6"/>
  <c r="O194" i="6" s="1"/>
  <c r="K216" i="6"/>
  <c r="K232" i="6"/>
  <c r="N148" i="6"/>
  <c r="N156" i="6"/>
  <c r="N206" i="6" s="1"/>
  <c r="N140" i="6"/>
  <c r="N199" i="6" s="1"/>
  <c r="N142" i="6"/>
  <c r="N201" i="6" s="1"/>
  <c r="N153" i="6"/>
  <c r="N205" i="6" s="1"/>
  <c r="N152" i="6"/>
  <c r="N204" i="6" s="1"/>
  <c r="N141" i="6"/>
  <c r="N151" i="6"/>
  <c r="N35" i="8" l="1"/>
  <c r="M39" i="8"/>
  <c r="G53" i="8"/>
  <c r="O130" i="8"/>
  <c r="O129" i="8"/>
  <c r="L147" i="8"/>
  <c r="M40" i="8"/>
  <c r="M195" i="8" s="1"/>
  <c r="M147" i="7"/>
  <c r="G53" i="7"/>
  <c r="M40" i="7"/>
  <c r="M195" i="7" s="1"/>
  <c r="O35" i="7"/>
  <c r="O39" i="7" s="1"/>
  <c r="O147" i="7" s="1"/>
  <c r="N39" i="7"/>
  <c r="O130" i="7"/>
  <c r="O129" i="7"/>
  <c r="F53" i="6"/>
  <c r="G52" i="6" s="1"/>
  <c r="J340" i="6"/>
  <c r="J342" i="6"/>
  <c r="L329" i="6"/>
  <c r="N329" i="6"/>
  <c r="J341" i="6"/>
  <c r="J338" i="6"/>
  <c r="O329" i="6"/>
  <c r="K329" i="6"/>
  <c r="M329" i="6"/>
  <c r="J339" i="6"/>
  <c r="F338" i="6" a="1"/>
  <c r="E52" i="6"/>
  <c r="E53" i="6" s="1"/>
  <c r="H165" i="6"/>
  <c r="J165" i="6" s="1"/>
  <c r="J166" i="6" s="1"/>
  <c r="J168" i="6" s="1"/>
  <c r="N200" i="6"/>
  <c r="O141" i="6"/>
  <c r="O200" i="6" s="1"/>
  <c r="O151" i="6"/>
  <c r="O152" i="6"/>
  <c r="O204" i="6" s="1"/>
  <c r="O148" i="6"/>
  <c r="O202" i="6" s="1"/>
  <c r="O140" i="6"/>
  <c r="O199" i="6" s="1"/>
  <c r="O153" i="6"/>
  <c r="O205" i="6" s="1"/>
  <c r="O142" i="6"/>
  <c r="O201" i="6" s="1"/>
  <c r="O156" i="6"/>
  <c r="O206" i="6" s="1"/>
  <c r="O145" i="6"/>
  <c r="N130" i="6"/>
  <c r="N129" i="6"/>
  <c r="M130" i="6"/>
  <c r="M129" i="6"/>
  <c r="M207" i="6"/>
  <c r="O106" i="6"/>
  <c r="O108" i="6" s="1"/>
  <c r="K147" i="6"/>
  <c r="N203" i="6"/>
  <c r="N154" i="6"/>
  <c r="N202" i="6"/>
  <c r="M35" i="6"/>
  <c r="L39" i="6"/>
  <c r="L40" i="6" s="1"/>
  <c r="L195" i="6" s="1"/>
  <c r="G51" i="6" l="1"/>
  <c r="G50" i="6"/>
  <c r="G49" i="6"/>
  <c r="G48" i="6"/>
  <c r="G53" i="6" s="1"/>
  <c r="M147" i="8"/>
  <c r="O35" i="8"/>
  <c r="O39" i="8" s="1"/>
  <c r="O147" i="8" s="1"/>
  <c r="N39" i="8"/>
  <c r="O40" i="7"/>
  <c r="O195" i="7" s="1"/>
  <c r="N147" i="7"/>
  <c r="N40" i="7"/>
  <c r="N195" i="7" s="1"/>
  <c r="F341" i="6"/>
  <c r="F339" i="6"/>
  <c r="F340" i="6"/>
  <c r="F338" i="6"/>
  <c r="F342" i="6"/>
  <c r="N207" i="6"/>
  <c r="N35" i="6"/>
  <c r="M39" i="6"/>
  <c r="M40" i="6" s="1"/>
  <c r="M195" i="6" s="1"/>
  <c r="L147" i="6"/>
  <c r="O203" i="6"/>
  <c r="O207" i="6" s="1"/>
  <c r="O154" i="6"/>
  <c r="O116" i="6"/>
  <c r="O118" i="6" s="1"/>
  <c r="O120" i="6" s="1"/>
  <c r="O323" i="6" s="1"/>
  <c r="O325" i="6" s="1"/>
  <c r="N147" i="8" l="1"/>
  <c r="O40" i="8"/>
  <c r="O195" i="8" s="1"/>
  <c r="N40" i="8"/>
  <c r="N195" i="8" s="1"/>
  <c r="K342" i="6"/>
  <c r="L342" i="6"/>
  <c r="M342" i="6"/>
  <c r="N342" i="6"/>
  <c r="L338" i="6"/>
  <c r="M338" i="6"/>
  <c r="N338" i="6"/>
  <c r="O338" i="6"/>
  <c r="K340" i="6"/>
  <c r="L340" i="6"/>
  <c r="N340" i="6"/>
  <c r="O340" i="6"/>
  <c r="K339" i="6"/>
  <c r="M339" i="6"/>
  <c r="N339" i="6"/>
  <c r="O339" i="6"/>
  <c r="K341" i="6"/>
  <c r="L341" i="6"/>
  <c r="M341" i="6"/>
  <c r="O341" i="6"/>
  <c r="O35" i="6"/>
  <c r="O39" i="6" s="1"/>
  <c r="O147" i="6" s="1"/>
  <c r="N39" i="6"/>
  <c r="N40" i="6" s="1"/>
  <c r="N195" i="6" s="1"/>
  <c r="O130" i="6"/>
  <c r="O129" i="6"/>
  <c r="M147" i="6"/>
  <c r="N147" i="6" l="1"/>
  <c r="O40" i="6"/>
  <c r="O195" i="6" s="1"/>
  <c r="K111" i="8"/>
  <c r="L111" i="8"/>
  <c r="L112" i="8" s="1"/>
  <c r="M111" i="8"/>
  <c r="M112" i="8" s="1"/>
  <c r="N111" i="8"/>
  <c r="N112" i="8" s="1"/>
  <c r="O111" i="8"/>
  <c r="O112" i="8" s="1"/>
  <c r="K112" i="8" l="1"/>
  <c r="K113" i="8"/>
  <c r="N113" i="8"/>
  <c r="N193" i="8" s="1"/>
  <c r="N209" i="8" s="1"/>
  <c r="M113" i="8"/>
  <c r="M193" i="8" s="1"/>
  <c r="M209" i="8" s="1"/>
  <c r="O113" i="8"/>
  <c r="O193" i="8" s="1"/>
  <c r="O209" i="8" s="1"/>
  <c r="L113" i="8"/>
  <c r="L193" i="8" s="1"/>
  <c r="L209" i="8" s="1"/>
  <c r="L231" i="8" l="1"/>
  <c r="O231" i="8"/>
  <c r="M231" i="8"/>
  <c r="N231" i="8"/>
  <c r="K165" i="8"/>
  <c r="L165" i="8" s="1"/>
  <c r="M165" i="8" s="1"/>
  <c r="N165" i="8" s="1"/>
  <c r="O165" i="8" s="1"/>
  <c r="K193" i="8"/>
  <c r="K209" i="8" s="1"/>
  <c r="K231" i="8" l="1"/>
  <c r="K233" i="8" s="1"/>
  <c r="K237" i="8" s="1"/>
  <c r="K238" i="8" s="1"/>
  <c r="K255" i="8" l="1"/>
  <c r="K241" i="8" l="1"/>
  <c r="K256" i="8"/>
  <c r="K264" i="8" l="1"/>
  <c r="K258" i="8"/>
  <c r="K159" i="8"/>
  <c r="L254" i="8"/>
  <c r="K269" i="8"/>
  <c r="K242" i="8" l="1"/>
  <c r="K270" i="8"/>
  <c r="K272" i="8" l="1"/>
  <c r="L267" i="8"/>
  <c r="K160" i="8"/>
  <c r="L268" i="8" l="1"/>
  <c r="L227" i="8" s="1"/>
  <c r="L228" i="8" s="1"/>
  <c r="L232" i="8" l="1"/>
  <c r="L233" i="8" s="1"/>
  <c r="L237" i="8" s="1"/>
  <c r="L216" i="8"/>
  <c r="K218" i="10"/>
  <c r="L218" i="10"/>
  <c r="M218" i="10"/>
  <c r="N218" i="10"/>
  <c r="O218" i="10"/>
  <c r="K220" i="10"/>
  <c r="L220" i="10"/>
  <c r="M220" i="10"/>
  <c r="N220" i="10"/>
  <c r="O220" i="10"/>
  <c r="L235" i="10" l="1"/>
  <c r="L238" i="10" s="1"/>
  <c r="K143" i="10"/>
  <c r="K186" i="10" l="1"/>
  <c r="K187" i="10" s="1"/>
  <c r="K149" i="10"/>
  <c r="M235" i="10"/>
  <c r="L143" i="10"/>
  <c r="L255" i="10"/>
  <c r="L256" i="10" l="1"/>
  <c r="L241" i="10"/>
  <c r="L186" i="10"/>
  <c r="L187" i="10" s="1"/>
  <c r="L149" i="10"/>
  <c r="N235" i="10"/>
  <c r="M143" i="10"/>
  <c r="M149" i="10" l="1"/>
  <c r="M186" i="10"/>
  <c r="M187" i="10" s="1"/>
  <c r="O235" i="10"/>
  <c r="O143" i="10"/>
  <c r="N143" i="10"/>
  <c r="L269" i="10"/>
  <c r="M254" i="10"/>
  <c r="L159" i="10"/>
  <c r="L258" i="10"/>
  <c r="L264" i="10"/>
  <c r="L242" i="10" l="1"/>
  <c r="L270" i="10"/>
  <c r="N149" i="10"/>
  <c r="N186" i="10"/>
  <c r="N187" i="10" s="1"/>
  <c r="O186" i="10"/>
  <c r="O187" i="10" s="1"/>
  <c r="O149" i="10"/>
  <c r="M267" i="10" l="1"/>
  <c r="L160" i="10"/>
  <c r="L272" i="10"/>
  <c r="M268" i="10" l="1"/>
  <c r="M227" i="10" s="1"/>
  <c r="M228" i="10" s="1"/>
  <c r="M232" i="10" s="1"/>
  <c r="M233" i="10" s="1"/>
  <c r="M237" i="10" s="1"/>
  <c r="M238" i="10" s="1"/>
  <c r="M255" i="10" l="1"/>
  <c r="M241" i="10" l="1"/>
  <c r="M256" i="10"/>
  <c r="N254" i="10" l="1"/>
  <c r="M159" i="10"/>
  <c r="M264" i="10"/>
  <c r="M258" i="10"/>
  <c r="M269" i="10"/>
  <c r="M242" i="10" l="1"/>
  <c r="M270" i="10"/>
  <c r="N267" i="10" l="1"/>
  <c r="M160" i="10"/>
  <c r="M272" i="10"/>
  <c r="N268" i="10" l="1"/>
  <c r="N227" i="10" s="1"/>
  <c r="N228" i="10" s="1"/>
  <c r="N232" i="10" s="1"/>
  <c r="N233" i="10" s="1"/>
  <c r="N237" i="10" s="1"/>
  <c r="N238" i="10" s="1"/>
  <c r="N255" i="10" l="1"/>
  <c r="N241" i="10" l="1"/>
  <c r="N256" i="10"/>
  <c r="O254" i="10" l="1"/>
  <c r="N159" i="10"/>
  <c r="N264" i="10"/>
  <c r="N258" i="10"/>
  <c r="N269" i="10"/>
  <c r="N242" i="10" l="1"/>
  <c r="N270" i="10"/>
  <c r="O267" i="10" l="1"/>
  <c r="N160" i="10"/>
  <c r="N272" i="10"/>
  <c r="O268" i="10" l="1"/>
  <c r="O227" i="10" s="1"/>
  <c r="O228" i="10" s="1"/>
  <c r="O232" i="10" s="1"/>
  <c r="O233" i="10" s="1"/>
  <c r="O237" i="10" s="1"/>
  <c r="O238" i="10" s="1"/>
  <c r="O255" i="10" l="1"/>
  <c r="O241" i="10" l="1"/>
  <c r="O256" i="10"/>
  <c r="O264" i="10" l="1"/>
  <c r="O159" i="10"/>
  <c r="O258" i="10"/>
  <c r="O269" i="10"/>
  <c r="O242" i="10" l="1"/>
  <c r="O270" i="10"/>
  <c r="O160" i="10" l="1"/>
  <c r="O272" i="10"/>
  <c r="K163" i="12"/>
  <c r="L163" i="12"/>
  <c r="M163" i="12"/>
  <c r="N163" i="12"/>
  <c r="O163" i="12"/>
  <c r="K166" i="12"/>
  <c r="L166" i="12"/>
  <c r="M166" i="12"/>
  <c r="N166" i="12"/>
  <c r="N168" i="12" s="1"/>
  <c r="O166" i="12"/>
  <c r="O168" i="12" s="1"/>
  <c r="K168" i="12"/>
  <c r="L168" i="12"/>
  <c r="M168" i="12"/>
  <c r="K245" i="12"/>
  <c r="L245" i="12"/>
  <c r="M245" i="12"/>
  <c r="N245" i="12"/>
  <c r="O245" i="12"/>
  <c r="K280" i="11" l="1"/>
  <c r="K281" i="11" s="1"/>
  <c r="L278" i="11" l="1"/>
  <c r="K161" i="11"/>
  <c r="K163" i="11" s="1"/>
  <c r="K166" i="11" s="1"/>
  <c r="K168" i="11" s="1"/>
  <c r="K283" i="11"/>
  <c r="K243" i="11"/>
  <c r="K245" i="11" s="1"/>
  <c r="L280" i="11" l="1"/>
  <c r="L243" i="11" s="1"/>
  <c r="L245" i="11" s="1"/>
  <c r="L281" i="11" l="1"/>
  <c r="M278" i="11" l="1"/>
  <c r="L161" i="11"/>
  <c r="L163" i="11" s="1"/>
  <c r="L166" i="11" s="1"/>
  <c r="L168" i="11" s="1"/>
  <c r="L283" i="11"/>
  <c r="M280" i="11" l="1"/>
  <c r="M243" i="11" s="1"/>
  <c r="M245" i="11" s="1"/>
  <c r="M281" i="11"/>
  <c r="M283" i="11"/>
  <c r="N278" i="11" l="1"/>
  <c r="M161" i="11"/>
  <c r="M163" i="11" s="1"/>
  <c r="M166" i="11" s="1"/>
  <c r="M168" i="11" s="1"/>
  <c r="N280" i="11" l="1"/>
  <c r="N243" i="11" s="1"/>
  <c r="N245" i="11" s="1"/>
  <c r="N281" i="11"/>
  <c r="N283" i="11"/>
  <c r="O278" i="11" l="1"/>
  <c r="N161" i="11"/>
  <c r="N163" i="11" s="1"/>
  <c r="N166" i="11" s="1"/>
  <c r="N168" i="11" s="1"/>
  <c r="O280" i="11" l="1"/>
  <c r="O243" i="11" s="1"/>
  <c r="O245" i="11" s="1"/>
  <c r="O281" i="11" l="1"/>
  <c r="O161" i="11" l="1"/>
  <c r="O163" i="11" s="1"/>
  <c r="O166" i="11" s="1"/>
  <c r="O168" i="11" s="1"/>
  <c r="O283" i="11"/>
  <c r="K280" i="10"/>
  <c r="K243" i="10" s="1"/>
  <c r="K290" i="10" s="1"/>
  <c r="K281" i="10" l="1"/>
  <c r="K283" i="10" l="1"/>
  <c r="K161" i="10"/>
  <c r="L278" i="10"/>
  <c r="K291" i="10"/>
  <c r="K244" i="10"/>
  <c r="K245" i="10" s="1"/>
  <c r="L280" i="10" l="1"/>
  <c r="L243" i="10" s="1"/>
  <c r="K162" i="10"/>
  <c r="K163" i="10" s="1"/>
  <c r="K166" i="10" s="1"/>
  <c r="K168" i="10" s="1"/>
  <c r="K293" i="10"/>
  <c r="L289" i="10"/>
  <c r="L290" i="10" s="1"/>
  <c r="L281" i="10" l="1"/>
  <c r="L244" i="10"/>
  <c r="L245" i="10" s="1"/>
  <c r="L291" i="10" l="1"/>
  <c r="L161" i="10"/>
  <c r="M278" i="10"/>
  <c r="L283" i="10"/>
  <c r="M280" i="10" l="1"/>
  <c r="M243" i="10" s="1"/>
  <c r="M281" i="10"/>
  <c r="M283" i="10"/>
  <c r="L162" i="10"/>
  <c r="L163" i="10" s="1"/>
  <c r="L166" i="10" s="1"/>
  <c r="L168" i="10" s="1"/>
  <c r="M289" i="10"/>
  <c r="M290" i="10" s="1"/>
  <c r="L293" i="10"/>
  <c r="M161" i="10" l="1"/>
  <c r="N278" i="10"/>
  <c r="M244" i="10"/>
  <c r="M245" i="10" s="1"/>
  <c r="N280" i="10" l="1"/>
  <c r="N243" i="10" s="1"/>
  <c r="M291" i="10"/>
  <c r="M162" i="10" l="1"/>
  <c r="M163" i="10" s="1"/>
  <c r="M166" i="10" s="1"/>
  <c r="M168" i="10" s="1"/>
  <c r="N289" i="10"/>
  <c r="N290" i="10" s="1"/>
  <c r="N244" i="10" s="1"/>
  <c r="N245" i="10" s="1"/>
  <c r="M293" i="10"/>
  <c r="N281" i="10"/>
  <c r="N161" i="10" l="1"/>
  <c r="O278" i="10"/>
  <c r="N283" i="10"/>
  <c r="N291" i="10"/>
  <c r="N293" i="10"/>
  <c r="O289" i="10" l="1"/>
  <c r="N162" i="10"/>
  <c r="O280" i="10"/>
  <c r="O243" i="10" s="1"/>
  <c r="N163" i="10"/>
  <c r="N166" i="10" s="1"/>
  <c r="N168" i="10" s="1"/>
  <c r="O290" i="10" l="1"/>
  <c r="O281" i="10"/>
  <c r="O244" i="10"/>
  <c r="O245" i="10" s="1"/>
  <c r="O291" i="10"/>
  <c r="O162" i="10" s="1"/>
  <c r="O293" i="10"/>
  <c r="O161" i="10" l="1"/>
  <c r="O163" i="10" s="1"/>
  <c r="O166" i="10" s="1"/>
  <c r="O168" i="10" s="1"/>
  <c r="O283" i="10"/>
  <c r="K280" i="8"/>
  <c r="K243" i="8" s="1"/>
  <c r="K290" i="8" s="1"/>
  <c r="K281" i="8" l="1"/>
  <c r="K161" i="8" l="1"/>
  <c r="K283" i="8"/>
  <c r="L278" i="8"/>
  <c r="K291" i="8"/>
  <c r="K244" i="8"/>
  <c r="K245" i="8" s="1"/>
  <c r="K217" i="8" s="1"/>
  <c r="K218" i="8" s="1"/>
  <c r="K220" i="8" s="1"/>
  <c r="K139" i="8" s="1"/>
  <c r="K143" i="8" l="1"/>
  <c r="L235" i="8"/>
  <c r="L238" i="8" s="1"/>
  <c r="K162" i="8"/>
  <c r="K293" i="8"/>
  <c r="L289" i="8"/>
  <c r="K163" i="8"/>
  <c r="K166" i="8" s="1"/>
  <c r="L255" i="8" l="1"/>
  <c r="K186" i="8"/>
  <c r="K187" i="8" s="1"/>
  <c r="K149" i="8"/>
  <c r="K168" i="8" s="1"/>
  <c r="L256" i="8" l="1"/>
  <c r="L241" i="8"/>
  <c r="L269" i="8" l="1"/>
  <c r="M254" i="8"/>
  <c r="L258" i="8"/>
  <c r="L159" i="8"/>
  <c r="L264" i="8"/>
  <c r="L242" i="8" l="1"/>
  <c r="L270" i="8"/>
  <c r="L272" i="8" l="1"/>
  <c r="L160" i="8"/>
  <c r="M267" i="8"/>
  <c r="L280" i="8"/>
  <c r="L243" i="8" l="1"/>
  <c r="L290" i="8" s="1"/>
  <c r="L281" i="8"/>
  <c r="M268" i="8"/>
  <c r="M227" i="8" s="1"/>
  <c r="M228" i="8" s="1"/>
  <c r="M232" i="8" l="1"/>
  <c r="M233" i="8" s="1"/>
  <c r="M237" i="8" s="1"/>
  <c r="M216" i="8"/>
  <c r="L161" i="8"/>
  <c r="M278" i="8"/>
  <c r="L283" i="8"/>
  <c r="L244" i="8" l="1"/>
  <c r="L245" i="8" s="1"/>
  <c r="L217" i="8" s="1"/>
  <c r="L218" i="8" s="1"/>
  <c r="L220" i="8" s="1"/>
  <c r="L139" i="8" s="1"/>
  <c r="L291" i="8"/>
  <c r="L162" i="8" l="1"/>
  <c r="L163" i="8" s="1"/>
  <c r="L166" i="8" s="1"/>
  <c r="M289" i="8"/>
  <c r="L293" i="8"/>
  <c r="L143" i="8"/>
  <c r="M235" i="8"/>
  <c r="M238" i="8" s="1"/>
  <c r="M255" i="8" l="1"/>
  <c r="L186" i="8"/>
  <c r="L187" i="8" s="1"/>
  <c r="L149" i="8"/>
  <c r="L168" i="8" s="1"/>
  <c r="M241" i="8" l="1"/>
  <c r="M256" i="8"/>
  <c r="N254" i="8" l="1"/>
  <c r="M159" i="8"/>
  <c r="M264" i="8"/>
  <c r="M258" i="8"/>
  <c r="M269" i="8"/>
  <c r="M242" i="8" l="1"/>
  <c r="M270" i="8"/>
  <c r="N267" i="8" l="1"/>
  <c r="M160" i="8"/>
  <c r="M272" i="8"/>
  <c r="M280" i="8"/>
  <c r="M243" i="8" l="1"/>
  <c r="M290" i="8" s="1"/>
  <c r="M281" i="8"/>
  <c r="N268" i="8"/>
  <c r="N227" i="8" s="1"/>
  <c r="N228" i="8" s="1"/>
  <c r="N232" i="8" l="1"/>
  <c r="N233" i="8" s="1"/>
  <c r="N237" i="8" s="1"/>
  <c r="N216" i="8"/>
  <c r="M161" i="8"/>
  <c r="N278" i="8"/>
  <c r="M283" i="8"/>
  <c r="M244" i="8" l="1"/>
  <c r="M245" i="8" s="1"/>
  <c r="M217" i="8" s="1"/>
  <c r="M218" i="8" s="1"/>
  <c r="M220" i="8" s="1"/>
  <c r="M139" i="8" s="1"/>
  <c r="M291" i="8"/>
  <c r="M162" i="8" l="1"/>
  <c r="M163" i="8" s="1"/>
  <c r="M166" i="8" s="1"/>
  <c r="N289" i="8"/>
  <c r="M293" i="8"/>
  <c r="M143" i="8"/>
  <c r="N235" i="8"/>
  <c r="N238" i="8" s="1"/>
  <c r="N255" i="8" l="1"/>
  <c r="M186" i="8"/>
  <c r="M187" i="8" s="1"/>
  <c r="M149" i="8"/>
  <c r="M168" i="8" s="1"/>
  <c r="N241" i="8" l="1"/>
  <c r="N256" i="8"/>
  <c r="O254" i="8" l="1"/>
  <c r="N159" i="8"/>
  <c r="N264" i="8"/>
  <c r="N258" i="8"/>
  <c r="N269" i="8"/>
  <c r="N242" i="8" l="1"/>
  <c r="N270" i="8"/>
  <c r="O267" i="8" l="1"/>
  <c r="N160" i="8"/>
  <c r="N272" i="8"/>
  <c r="N280" i="8"/>
  <c r="N243" i="8" l="1"/>
  <c r="N290" i="8" s="1"/>
  <c r="N281" i="8"/>
  <c r="O268" i="8"/>
  <c r="O227" i="8" s="1"/>
  <c r="O228" i="8" s="1"/>
  <c r="O232" i="8" l="1"/>
  <c r="O233" i="8" s="1"/>
  <c r="O237" i="8" s="1"/>
  <c r="O216" i="8"/>
  <c r="O278" i="8"/>
  <c r="N161" i="8"/>
  <c r="N283" i="8"/>
  <c r="N244" i="8" l="1"/>
  <c r="N245" i="8" s="1"/>
  <c r="N217" i="8" s="1"/>
  <c r="N218" i="8" s="1"/>
  <c r="N220" i="8" s="1"/>
  <c r="N139" i="8" s="1"/>
  <c r="N291" i="8"/>
  <c r="N162" i="8" l="1"/>
  <c r="N163" i="8" s="1"/>
  <c r="N166" i="8" s="1"/>
  <c r="O289" i="8"/>
  <c r="N293" i="8"/>
  <c r="N143" i="8"/>
  <c r="O235" i="8"/>
  <c r="O238" i="8" s="1"/>
  <c r="N186" i="8" l="1"/>
  <c r="N187" i="8" s="1"/>
  <c r="N149" i="8"/>
  <c r="N168" i="8" s="1"/>
  <c r="O255" i="8"/>
  <c r="O241" i="8" l="1"/>
  <c r="O256" i="8"/>
  <c r="O159" i="8" l="1"/>
  <c r="O264" i="8"/>
  <c r="O258" i="8"/>
  <c r="O269" i="8"/>
  <c r="O242" i="8" l="1"/>
  <c r="O270" i="8"/>
  <c r="O160" i="8" l="1"/>
  <c r="O272" i="8"/>
  <c r="O280" i="8"/>
  <c r="O243" i="8" l="1"/>
  <c r="O290" i="8" s="1"/>
  <c r="O281" i="8"/>
  <c r="O161" i="8" l="1"/>
  <c r="O283" i="8"/>
  <c r="O244" i="8" l="1"/>
  <c r="O245" i="8" s="1"/>
  <c r="O217" i="8" s="1"/>
  <c r="O218" i="8" s="1"/>
  <c r="O220" i="8" s="1"/>
  <c r="O139" i="8" s="1"/>
  <c r="O143" i="8" s="1"/>
  <c r="O291" i="8"/>
  <c r="O162" i="8" l="1"/>
  <c r="O163" i="8" s="1"/>
  <c r="O166" i="8" s="1"/>
  <c r="O293" i="8"/>
  <c r="O186" i="8"/>
  <c r="O187" i="8" s="1"/>
  <c r="O149" i="8"/>
  <c r="O168" i="8" l="1"/>
  <c r="K109" i="7"/>
  <c r="L109" i="7"/>
  <c r="M109" i="7"/>
  <c r="N109" i="7"/>
  <c r="O109" i="7"/>
  <c r="K110" i="7"/>
  <c r="L110" i="7"/>
  <c r="M110" i="7"/>
  <c r="N110" i="7"/>
  <c r="O110" i="7"/>
  <c r="K111" i="7"/>
  <c r="L111" i="7"/>
  <c r="M111" i="7"/>
  <c r="N111" i="7"/>
  <c r="O111" i="7"/>
  <c r="K112" i="7"/>
  <c r="L112" i="7"/>
  <c r="M112" i="7"/>
  <c r="N112" i="7"/>
  <c r="O112" i="7"/>
  <c r="K113" i="7"/>
  <c r="L113" i="7"/>
  <c r="M113" i="7"/>
  <c r="N113" i="7"/>
  <c r="O113" i="7"/>
  <c r="K139" i="7"/>
  <c r="L139" i="7"/>
  <c r="M139" i="7"/>
  <c r="N139" i="7"/>
  <c r="O139" i="7"/>
  <c r="K143" i="7"/>
  <c r="L143" i="7"/>
  <c r="M143" i="7"/>
  <c r="N143" i="7"/>
  <c r="O143" i="7"/>
  <c r="K149" i="7"/>
  <c r="L149" i="7"/>
  <c r="M149" i="7"/>
  <c r="N149" i="7"/>
  <c r="O149" i="7"/>
  <c r="K159" i="7"/>
  <c r="L159" i="7"/>
  <c r="M159" i="7"/>
  <c r="N159" i="7"/>
  <c r="O159" i="7"/>
  <c r="K160" i="7"/>
  <c r="L160" i="7"/>
  <c r="M160" i="7"/>
  <c r="N160" i="7"/>
  <c r="O160" i="7"/>
  <c r="K161" i="7"/>
  <c r="L161" i="7"/>
  <c r="M161" i="7"/>
  <c r="N161" i="7"/>
  <c r="O161" i="7"/>
  <c r="K162" i="7"/>
  <c r="L162" i="7"/>
  <c r="M162" i="7"/>
  <c r="N162" i="7"/>
  <c r="O162" i="7"/>
  <c r="K163" i="7"/>
  <c r="L163" i="7"/>
  <c r="M163" i="7"/>
  <c r="N163" i="7"/>
  <c r="O163" i="7"/>
  <c r="K165" i="7"/>
  <c r="L165" i="7"/>
  <c r="M165" i="7"/>
  <c r="N165" i="7"/>
  <c r="O165" i="7"/>
  <c r="K166" i="7"/>
  <c r="L166" i="7"/>
  <c r="M166" i="7"/>
  <c r="N166" i="7"/>
  <c r="O166" i="7"/>
  <c r="K168" i="7"/>
  <c r="L168" i="7"/>
  <c r="M168" i="7"/>
  <c r="N168" i="7"/>
  <c r="O168" i="7"/>
  <c r="K186" i="7"/>
  <c r="L186" i="7"/>
  <c r="M186" i="7"/>
  <c r="N186" i="7"/>
  <c r="O186" i="7"/>
  <c r="K187" i="7"/>
  <c r="L187" i="7"/>
  <c r="M187" i="7"/>
  <c r="N187" i="7"/>
  <c r="O187" i="7"/>
  <c r="K193" i="7"/>
  <c r="L193" i="7"/>
  <c r="M193" i="7"/>
  <c r="N193" i="7"/>
  <c r="O193" i="7"/>
  <c r="K196" i="7"/>
  <c r="L196" i="7"/>
  <c r="M196" i="7"/>
  <c r="N196" i="7"/>
  <c r="O196" i="7"/>
  <c r="K209" i="7"/>
  <c r="L209" i="7"/>
  <c r="M209" i="7"/>
  <c r="N209" i="7"/>
  <c r="O209" i="7"/>
  <c r="L216" i="7"/>
  <c r="M216" i="7"/>
  <c r="N216" i="7"/>
  <c r="O216" i="7"/>
  <c r="K217" i="7"/>
  <c r="L217" i="7"/>
  <c r="M217" i="7"/>
  <c r="N217" i="7"/>
  <c r="O217" i="7"/>
  <c r="K218" i="7"/>
  <c r="L218" i="7"/>
  <c r="M218" i="7"/>
  <c r="N218" i="7"/>
  <c r="O218" i="7"/>
  <c r="K220" i="7"/>
  <c r="L220" i="7"/>
  <c r="M220" i="7"/>
  <c r="N220" i="7"/>
  <c r="O220" i="7"/>
  <c r="L227" i="7"/>
  <c r="M227" i="7"/>
  <c r="N227" i="7"/>
  <c r="O227" i="7"/>
  <c r="L228" i="7"/>
  <c r="M228" i="7"/>
  <c r="N228" i="7"/>
  <c r="O228" i="7"/>
  <c r="K231" i="7"/>
  <c r="L231" i="7"/>
  <c r="M231" i="7"/>
  <c r="N231" i="7"/>
  <c r="O231" i="7"/>
  <c r="L232" i="7"/>
  <c r="M232" i="7"/>
  <c r="N232" i="7"/>
  <c r="O232" i="7"/>
  <c r="K233" i="7"/>
  <c r="L233" i="7"/>
  <c r="M233" i="7"/>
  <c r="N233" i="7"/>
  <c r="O233" i="7"/>
  <c r="L235" i="7"/>
  <c r="M235" i="7"/>
  <c r="N235" i="7"/>
  <c r="O235" i="7"/>
  <c r="K237" i="7"/>
  <c r="L237" i="7"/>
  <c r="M237" i="7"/>
  <c r="N237" i="7"/>
  <c r="O237" i="7"/>
  <c r="K238" i="7"/>
  <c r="L238" i="7"/>
  <c r="M238" i="7"/>
  <c r="N238" i="7"/>
  <c r="O238" i="7"/>
  <c r="K241" i="7"/>
  <c r="L241" i="7"/>
  <c r="M241" i="7"/>
  <c r="N241" i="7"/>
  <c r="O241" i="7"/>
  <c r="K242" i="7"/>
  <c r="L242" i="7"/>
  <c r="M242" i="7"/>
  <c r="N242" i="7"/>
  <c r="O242" i="7"/>
  <c r="K243" i="7"/>
  <c r="L243" i="7"/>
  <c r="M243" i="7"/>
  <c r="N243" i="7"/>
  <c r="O243" i="7"/>
  <c r="K244" i="7"/>
  <c r="L244" i="7"/>
  <c r="M244" i="7"/>
  <c r="N244" i="7"/>
  <c r="O244" i="7"/>
  <c r="K245" i="7"/>
  <c r="L245" i="7"/>
  <c r="M245" i="7"/>
  <c r="N245" i="7"/>
  <c r="O245" i="7"/>
  <c r="L254" i="7"/>
  <c r="M254" i="7"/>
  <c r="N254" i="7"/>
  <c r="O254" i="7"/>
  <c r="K255" i="7"/>
  <c r="L255" i="7"/>
  <c r="M255" i="7"/>
  <c r="N255" i="7"/>
  <c r="O255" i="7"/>
  <c r="K256" i="7"/>
  <c r="L256" i="7"/>
  <c r="M256" i="7"/>
  <c r="N256" i="7"/>
  <c r="O256" i="7"/>
  <c r="K258" i="7"/>
  <c r="L258" i="7"/>
  <c r="M258" i="7"/>
  <c r="N258" i="7"/>
  <c r="O258" i="7"/>
  <c r="K260" i="7"/>
  <c r="L260" i="7"/>
  <c r="M260" i="7"/>
  <c r="N260" i="7"/>
  <c r="O260" i="7"/>
  <c r="K261" i="7"/>
  <c r="L261" i="7"/>
  <c r="M261" i="7"/>
  <c r="N261" i="7"/>
  <c r="O261" i="7"/>
  <c r="K264" i="7"/>
  <c r="L264" i="7"/>
  <c r="M264" i="7"/>
  <c r="N264" i="7"/>
  <c r="O264" i="7"/>
  <c r="L267" i="7"/>
  <c r="M267" i="7"/>
  <c r="N267" i="7"/>
  <c r="O267" i="7"/>
  <c r="L268" i="7"/>
  <c r="M268" i="7"/>
  <c r="N268" i="7"/>
  <c r="O268" i="7"/>
  <c r="K269" i="7"/>
  <c r="L269" i="7"/>
  <c r="M269" i="7"/>
  <c r="N269" i="7"/>
  <c r="O269" i="7"/>
  <c r="K270" i="7"/>
  <c r="L270" i="7"/>
  <c r="M270" i="7"/>
  <c r="N270" i="7"/>
  <c r="O270" i="7"/>
  <c r="K272" i="7"/>
  <c r="L272" i="7"/>
  <c r="M272" i="7"/>
  <c r="N272" i="7"/>
  <c r="O272" i="7"/>
  <c r="K274" i="7"/>
  <c r="L274" i="7"/>
  <c r="M274" i="7"/>
  <c r="N274" i="7"/>
  <c r="O274" i="7"/>
  <c r="L278" i="7"/>
  <c r="M278" i="7"/>
  <c r="N278" i="7"/>
  <c r="O278" i="7"/>
  <c r="K279" i="7"/>
  <c r="L279" i="7"/>
  <c r="M279" i="7"/>
  <c r="N279" i="7"/>
  <c r="O279" i="7"/>
  <c r="K280" i="7"/>
  <c r="L280" i="7"/>
  <c r="M280" i="7"/>
  <c r="N280" i="7"/>
  <c r="O280" i="7"/>
  <c r="K281" i="7"/>
  <c r="L281" i="7"/>
  <c r="M281" i="7"/>
  <c r="N281" i="7"/>
  <c r="O281" i="7"/>
  <c r="K283" i="7"/>
  <c r="L283" i="7"/>
  <c r="M283" i="7"/>
  <c r="N283" i="7"/>
  <c r="O283" i="7"/>
  <c r="K285" i="7"/>
  <c r="L285" i="7"/>
  <c r="M285" i="7"/>
  <c r="N285" i="7"/>
  <c r="O285" i="7"/>
  <c r="L289" i="7"/>
  <c r="M289" i="7"/>
  <c r="N289" i="7"/>
  <c r="O289" i="7"/>
  <c r="K290" i="7"/>
  <c r="L290" i="7"/>
  <c r="M290" i="7"/>
  <c r="N290" i="7"/>
  <c r="O290" i="7"/>
  <c r="K291" i="7"/>
  <c r="L291" i="7"/>
  <c r="M291" i="7"/>
  <c r="N291" i="7"/>
  <c r="O291" i="7"/>
  <c r="K293" i="7"/>
  <c r="L293" i="7"/>
  <c r="M293" i="7"/>
  <c r="N293" i="7"/>
  <c r="O293" i="7"/>
  <c r="K294" i="7"/>
  <c r="L294" i="7"/>
  <c r="M294" i="7"/>
  <c r="N294" i="7"/>
  <c r="O294" i="7"/>
  <c r="L301" i="7"/>
  <c r="M301" i="7"/>
  <c r="N301" i="7"/>
  <c r="O301" i="7"/>
  <c r="K302" i="7"/>
  <c r="L302" i="7"/>
  <c r="M302" i="7"/>
  <c r="N302" i="7"/>
  <c r="O302" i="7"/>
  <c r="K303" i="7"/>
  <c r="L303" i="7"/>
  <c r="M303" i="7"/>
  <c r="N303" i="7"/>
  <c r="O303" i="7"/>
  <c r="K305" i="7"/>
  <c r="L305" i="7"/>
  <c r="M305" i="7"/>
  <c r="N305" i="7"/>
  <c r="O305" i="7"/>
  <c r="K306" i="7"/>
  <c r="L306" i="7"/>
  <c r="M306" i="7"/>
  <c r="N306" i="7"/>
  <c r="O306" i="7"/>
  <c r="K310" i="7"/>
  <c r="L310" i="7"/>
  <c r="M310" i="7"/>
  <c r="N310" i="7"/>
  <c r="O310" i="7"/>
  <c r="K311" i="7"/>
  <c r="L311" i="7"/>
  <c r="M311" i="7"/>
  <c r="N311" i="7"/>
  <c r="O311" i="7"/>
  <c r="K312" i="7"/>
  <c r="L312" i="7"/>
  <c r="M312" i="7"/>
  <c r="N312" i="7"/>
  <c r="O312" i="7"/>
  <c r="K313" i="7"/>
  <c r="L313" i="7"/>
  <c r="M313" i="7"/>
  <c r="N313" i="7"/>
  <c r="O313" i="7"/>
  <c r="K314" i="7"/>
  <c r="L314" i="7"/>
  <c r="M314" i="7"/>
  <c r="N314" i="7"/>
  <c r="O314" i="7"/>
  <c r="K315" i="7"/>
  <c r="L315" i="7"/>
  <c r="M315" i="7"/>
  <c r="N315" i="7"/>
  <c r="O315" i="7"/>
  <c r="K316" i="7"/>
  <c r="L316" i="7"/>
  <c r="M316" i="7"/>
  <c r="N316" i="7"/>
  <c r="O316" i="7"/>
  <c r="K317" i="7"/>
  <c r="L317" i="7"/>
  <c r="M317" i="7"/>
  <c r="N317" i="7"/>
  <c r="O317" i="7"/>
  <c r="K109" i="22"/>
  <c r="L109" i="22"/>
  <c r="M109" i="22"/>
  <c r="N109" i="22"/>
  <c r="O109" i="22"/>
  <c r="K110" i="22"/>
  <c r="L110" i="22"/>
  <c r="M110" i="22"/>
  <c r="N110" i="22"/>
  <c r="O110" i="22"/>
  <c r="K111" i="22"/>
  <c r="L111" i="22"/>
  <c r="M111" i="22"/>
  <c r="N111" i="22"/>
  <c r="O111" i="22"/>
  <c r="K112" i="22"/>
  <c r="L112" i="22"/>
  <c r="M112" i="22"/>
  <c r="N112" i="22"/>
  <c r="O112" i="22"/>
  <c r="K113" i="22"/>
  <c r="L113" i="22"/>
  <c r="M113" i="22"/>
  <c r="N113" i="22"/>
  <c r="O113" i="22"/>
  <c r="K139" i="22"/>
  <c r="L139" i="22"/>
  <c r="M139" i="22"/>
  <c r="N139" i="22"/>
  <c r="O139" i="22"/>
  <c r="K143" i="22"/>
  <c r="L143" i="22"/>
  <c r="M143" i="22"/>
  <c r="N143" i="22"/>
  <c r="O143" i="22"/>
  <c r="K149" i="22"/>
  <c r="L149" i="22"/>
  <c r="M149" i="22"/>
  <c r="N149" i="22"/>
  <c r="O149" i="22"/>
  <c r="K159" i="22"/>
  <c r="L159" i="22"/>
  <c r="M159" i="22"/>
  <c r="N159" i="22"/>
  <c r="O159" i="22"/>
  <c r="K160" i="22"/>
  <c r="L160" i="22"/>
  <c r="M160" i="22"/>
  <c r="N160" i="22"/>
  <c r="O160" i="22"/>
  <c r="K161" i="22"/>
  <c r="L161" i="22"/>
  <c r="M161" i="22"/>
  <c r="N161" i="22"/>
  <c r="O161" i="22"/>
  <c r="K162" i="22"/>
  <c r="L162" i="22"/>
  <c r="M162" i="22"/>
  <c r="N162" i="22"/>
  <c r="O162" i="22"/>
  <c r="K163" i="22"/>
  <c r="L163" i="22"/>
  <c r="M163" i="22"/>
  <c r="N163" i="22"/>
  <c r="O163" i="22"/>
  <c r="K165" i="22"/>
  <c r="L165" i="22"/>
  <c r="M165" i="22"/>
  <c r="N165" i="22"/>
  <c r="O165" i="22"/>
  <c r="K166" i="22"/>
  <c r="L166" i="22"/>
  <c r="M166" i="22"/>
  <c r="N166" i="22"/>
  <c r="O166" i="22"/>
  <c r="K168" i="22"/>
  <c r="L168" i="22"/>
  <c r="M168" i="22"/>
  <c r="N168" i="22"/>
  <c r="O168" i="22"/>
  <c r="K186" i="22"/>
  <c r="L186" i="22"/>
  <c r="M186" i="22"/>
  <c r="N186" i="22"/>
  <c r="O186" i="22"/>
  <c r="K187" i="22"/>
  <c r="L187" i="22"/>
  <c r="M187" i="22"/>
  <c r="N187" i="22"/>
  <c r="O187" i="22"/>
  <c r="K193" i="22"/>
  <c r="L193" i="22"/>
  <c r="M193" i="22"/>
  <c r="N193" i="22"/>
  <c r="O193" i="22"/>
  <c r="K196" i="22"/>
  <c r="L196" i="22"/>
  <c r="M196" i="22"/>
  <c r="N196" i="22"/>
  <c r="O196" i="22"/>
  <c r="K209" i="22"/>
  <c r="L209" i="22"/>
  <c r="M209" i="22"/>
  <c r="N209" i="22"/>
  <c r="O209" i="22"/>
  <c r="L216" i="22"/>
  <c r="M216" i="22"/>
  <c r="N216" i="22"/>
  <c r="O216" i="22"/>
  <c r="K217" i="22"/>
  <c r="L217" i="22"/>
  <c r="M217" i="22"/>
  <c r="N217" i="22"/>
  <c r="O217" i="22"/>
  <c r="K218" i="22"/>
  <c r="L218" i="22"/>
  <c r="M218" i="22"/>
  <c r="N218" i="22"/>
  <c r="O218" i="22"/>
  <c r="K220" i="22"/>
  <c r="L220" i="22"/>
  <c r="M220" i="22"/>
  <c r="N220" i="22"/>
  <c r="O220" i="22"/>
  <c r="L227" i="22"/>
  <c r="M227" i="22"/>
  <c r="N227" i="22"/>
  <c r="O227" i="22"/>
  <c r="L228" i="22"/>
  <c r="M228" i="22"/>
  <c r="N228" i="22"/>
  <c r="O228" i="22"/>
  <c r="K231" i="22"/>
  <c r="L231" i="22"/>
  <c r="M231" i="22"/>
  <c r="N231" i="22"/>
  <c r="O231" i="22"/>
  <c r="L232" i="22"/>
  <c r="M232" i="22"/>
  <c r="N232" i="22"/>
  <c r="O232" i="22"/>
  <c r="K233" i="22"/>
  <c r="L233" i="22"/>
  <c r="M233" i="22"/>
  <c r="N233" i="22"/>
  <c r="O233" i="22"/>
  <c r="L235" i="22"/>
  <c r="M235" i="22"/>
  <c r="N235" i="22"/>
  <c r="O235" i="22"/>
  <c r="K237" i="22"/>
  <c r="L237" i="22"/>
  <c r="M237" i="22"/>
  <c r="N237" i="22"/>
  <c r="O237" i="22"/>
  <c r="K238" i="22"/>
  <c r="L238" i="22"/>
  <c r="M238" i="22"/>
  <c r="N238" i="22"/>
  <c r="O238" i="22"/>
  <c r="K241" i="22"/>
  <c r="L241" i="22"/>
  <c r="M241" i="22"/>
  <c r="N241" i="22"/>
  <c r="O241" i="22"/>
  <c r="K242" i="22"/>
  <c r="L242" i="22"/>
  <c r="M242" i="22"/>
  <c r="N242" i="22"/>
  <c r="O242" i="22"/>
  <c r="K243" i="22"/>
  <c r="L243" i="22"/>
  <c r="M243" i="22"/>
  <c r="N243" i="22"/>
  <c r="O243" i="22"/>
  <c r="K244" i="22"/>
  <c r="L244" i="22"/>
  <c r="M244" i="22"/>
  <c r="N244" i="22"/>
  <c r="O244" i="22"/>
  <c r="K245" i="22"/>
  <c r="L245" i="22"/>
  <c r="M245" i="22"/>
  <c r="N245" i="22"/>
  <c r="O245" i="22"/>
  <c r="L254" i="22"/>
  <c r="M254" i="22"/>
  <c r="N254" i="22"/>
  <c r="O254" i="22"/>
  <c r="K255" i="22"/>
  <c r="L255" i="22"/>
  <c r="M255" i="22"/>
  <c r="N255" i="22"/>
  <c r="O255" i="22"/>
  <c r="K256" i="22"/>
  <c r="L256" i="22"/>
  <c r="M256" i="22"/>
  <c r="N256" i="22"/>
  <c r="O256" i="22"/>
  <c r="K258" i="22"/>
  <c r="L258" i="22"/>
  <c r="M258" i="22"/>
  <c r="N258" i="22"/>
  <c r="O258" i="22"/>
  <c r="K260" i="22"/>
  <c r="L260" i="22"/>
  <c r="M260" i="22"/>
  <c r="N260" i="22"/>
  <c r="O260" i="22"/>
  <c r="K261" i="22"/>
  <c r="L261" i="22"/>
  <c r="M261" i="22"/>
  <c r="N261" i="22"/>
  <c r="O261" i="22"/>
  <c r="K264" i="22"/>
  <c r="L264" i="22"/>
  <c r="M264" i="22"/>
  <c r="N264" i="22"/>
  <c r="O264" i="22"/>
  <c r="L267" i="22"/>
  <c r="M267" i="22"/>
  <c r="N267" i="22"/>
  <c r="O267" i="22"/>
  <c r="L268" i="22"/>
  <c r="M268" i="22"/>
  <c r="N268" i="22"/>
  <c r="O268" i="22"/>
  <c r="K269" i="22"/>
  <c r="L269" i="22"/>
  <c r="M269" i="22"/>
  <c r="N269" i="22"/>
  <c r="O269" i="22"/>
  <c r="K270" i="22"/>
  <c r="L270" i="22"/>
  <c r="M270" i="22"/>
  <c r="N270" i="22"/>
  <c r="O270" i="22"/>
  <c r="K272" i="22"/>
  <c r="L272" i="22"/>
  <c r="M272" i="22"/>
  <c r="N272" i="22"/>
  <c r="O272" i="22"/>
  <c r="K274" i="22"/>
  <c r="L274" i="22"/>
  <c r="M274" i="22"/>
  <c r="N274" i="22"/>
  <c r="O274" i="22"/>
  <c r="L278" i="22"/>
  <c r="M278" i="22"/>
  <c r="N278" i="22"/>
  <c r="O278" i="22"/>
  <c r="K279" i="22"/>
  <c r="L279" i="22"/>
  <c r="M279" i="22"/>
  <c r="N279" i="22"/>
  <c r="O279" i="22"/>
  <c r="K280" i="22"/>
  <c r="L280" i="22"/>
  <c r="M280" i="22"/>
  <c r="N280" i="22"/>
  <c r="O280" i="22"/>
  <c r="K281" i="22"/>
  <c r="L281" i="22"/>
  <c r="M281" i="22"/>
  <c r="N281" i="22"/>
  <c r="O281" i="22"/>
  <c r="K283" i="22"/>
  <c r="L283" i="22"/>
  <c r="M283" i="22"/>
  <c r="N283" i="22"/>
  <c r="O283" i="22"/>
  <c r="K285" i="22"/>
  <c r="L285" i="22"/>
  <c r="M285" i="22"/>
  <c r="N285" i="22"/>
  <c r="O285" i="22"/>
  <c r="L289" i="22"/>
  <c r="M289" i="22"/>
  <c r="N289" i="22"/>
  <c r="O289" i="22"/>
  <c r="K290" i="22"/>
  <c r="L290" i="22"/>
  <c r="M290" i="22"/>
  <c r="N290" i="22"/>
  <c r="O290" i="22"/>
  <c r="K291" i="22"/>
  <c r="L291" i="22"/>
  <c r="M291" i="22"/>
  <c r="N291" i="22"/>
  <c r="O291" i="22"/>
  <c r="K293" i="22"/>
  <c r="L293" i="22"/>
  <c r="M293" i="22"/>
  <c r="N293" i="22"/>
  <c r="O293" i="22"/>
  <c r="K294" i="22"/>
  <c r="L294" i="22"/>
  <c r="M294" i="22"/>
  <c r="N294" i="22"/>
  <c r="O294" i="22"/>
  <c r="L301" i="22"/>
  <c r="M301" i="22"/>
  <c r="N301" i="22"/>
  <c r="O301" i="22"/>
  <c r="K302" i="22"/>
  <c r="L302" i="22"/>
  <c r="M302" i="22"/>
  <c r="N302" i="22"/>
  <c r="O302" i="22"/>
  <c r="K303" i="22"/>
  <c r="L303" i="22"/>
  <c r="M303" i="22"/>
  <c r="N303" i="22"/>
  <c r="O303" i="22"/>
  <c r="K305" i="22"/>
  <c r="L305" i="22"/>
  <c r="M305" i="22"/>
  <c r="N305" i="22"/>
  <c r="O305" i="22"/>
  <c r="K306" i="22"/>
  <c r="L306" i="22"/>
  <c r="M306" i="22"/>
  <c r="N306" i="22"/>
  <c r="O306" i="22"/>
  <c r="K310" i="22"/>
  <c r="L310" i="22"/>
  <c r="M310" i="22"/>
  <c r="N310" i="22"/>
  <c r="O310" i="22"/>
  <c r="K311" i="22"/>
  <c r="L311" i="22"/>
  <c r="M311" i="22"/>
  <c r="N311" i="22"/>
  <c r="O311" i="22"/>
  <c r="K312" i="22"/>
  <c r="L312" i="22"/>
  <c r="M312" i="22"/>
  <c r="N312" i="22"/>
  <c r="O312" i="22"/>
  <c r="K313" i="22"/>
  <c r="L313" i="22"/>
  <c r="M313" i="22"/>
  <c r="N313" i="22"/>
  <c r="O313" i="22"/>
  <c r="K314" i="22"/>
  <c r="L314" i="22"/>
  <c r="M314" i="22"/>
  <c r="N314" i="22"/>
  <c r="O314" i="22"/>
  <c r="K315" i="22"/>
  <c r="L315" i="22"/>
  <c r="M315" i="22"/>
  <c r="N315" i="22"/>
  <c r="O315" i="22"/>
  <c r="K316" i="22"/>
  <c r="L316" i="22"/>
  <c r="M316" i="22"/>
  <c r="N316" i="22"/>
  <c r="O316" i="22"/>
  <c r="K317" i="22"/>
  <c r="L317" i="22"/>
  <c r="M317" i="22"/>
  <c r="N317" i="22"/>
  <c r="O317" i="22"/>
  <c r="K326" i="22"/>
  <c r="L326" i="22"/>
  <c r="M326" i="22"/>
  <c r="N326" i="22"/>
  <c r="O326" i="22"/>
  <c r="K327" i="22"/>
  <c r="L327" i="22"/>
  <c r="M327" i="22"/>
  <c r="N327" i="22"/>
  <c r="O327" i="22"/>
  <c r="K328" i="22"/>
  <c r="L328" i="22"/>
  <c r="M328" i="22"/>
  <c r="N328" i="22"/>
  <c r="O328" i="22"/>
  <c r="K330" i="22"/>
  <c r="L330" i="22"/>
  <c r="M330" i="22"/>
  <c r="N330" i="22"/>
  <c r="O330" i="22"/>
  <c r="K332" i="22"/>
  <c r="L332" i="22"/>
  <c r="M332" i="22"/>
  <c r="N332" i="22"/>
  <c r="O332" i="22"/>
  <c r="K334" i="22"/>
  <c r="L334" i="22"/>
  <c r="M334" i="22"/>
  <c r="N334" i="22"/>
  <c r="O334" i="22"/>
  <c r="G338" i="22"/>
  <c r="H338" i="22"/>
  <c r="K338" i="22"/>
  <c r="G339" i="22"/>
  <c r="H339" i="22"/>
  <c r="L339" i="22"/>
  <c r="G340" i="22"/>
  <c r="H340" i="22"/>
  <c r="M340" i="22"/>
  <c r="G341" i="22"/>
  <c r="H341" i="22"/>
  <c r="N341" i="22"/>
  <c r="G342" i="22"/>
  <c r="H342" i="22"/>
  <c r="O342" i="22"/>
  <c r="K64" i="6"/>
  <c r="L64" i="6"/>
  <c r="M64" i="6"/>
  <c r="N64" i="6"/>
  <c r="O64" i="6"/>
  <c r="K71" i="6"/>
  <c r="L71" i="6"/>
  <c r="M71" i="6"/>
  <c r="N71" i="6"/>
  <c r="O71" i="6"/>
  <c r="K72" i="6"/>
  <c r="L72" i="6"/>
  <c r="M72" i="6"/>
  <c r="N72" i="6"/>
  <c r="O72" i="6"/>
  <c r="K75" i="6"/>
  <c r="L75" i="6"/>
  <c r="M75" i="6"/>
  <c r="N75" i="6"/>
  <c r="O75" i="6"/>
  <c r="K76" i="6"/>
  <c r="L76" i="6"/>
  <c r="M76" i="6"/>
  <c r="N76" i="6"/>
  <c r="O76" i="6"/>
  <c r="K79" i="6"/>
  <c r="L79" i="6"/>
  <c r="M79" i="6"/>
  <c r="N79" i="6"/>
  <c r="O79" i="6"/>
  <c r="K83" i="6"/>
  <c r="L83" i="6"/>
  <c r="M83" i="6"/>
  <c r="N83" i="6"/>
  <c r="O83" i="6"/>
  <c r="K84" i="6"/>
  <c r="L84" i="6"/>
  <c r="M84" i="6"/>
  <c r="N84" i="6"/>
  <c r="O84" i="6"/>
  <c r="K85" i="6"/>
  <c r="L85" i="6"/>
  <c r="M85" i="6"/>
  <c r="N85" i="6"/>
  <c r="O85" i="6"/>
  <c r="K86" i="6"/>
  <c r="L86" i="6"/>
  <c r="M86" i="6"/>
  <c r="N86" i="6"/>
  <c r="O86" i="6"/>
  <c r="K87" i="6"/>
  <c r="L87" i="6"/>
  <c r="M87" i="6"/>
  <c r="N87" i="6"/>
  <c r="O87" i="6"/>
  <c r="K88" i="6"/>
  <c r="L88" i="6"/>
  <c r="M88" i="6"/>
  <c r="N88" i="6"/>
  <c r="O88" i="6"/>
  <c r="K89" i="6"/>
  <c r="L89" i="6"/>
  <c r="M89" i="6"/>
  <c r="N89" i="6"/>
  <c r="O89" i="6"/>
  <c r="K90" i="6"/>
  <c r="L90" i="6"/>
  <c r="M90" i="6"/>
  <c r="N90" i="6"/>
  <c r="O90" i="6"/>
  <c r="K93" i="6"/>
  <c r="L93" i="6"/>
  <c r="M93" i="6"/>
  <c r="N93" i="6"/>
  <c r="O93" i="6"/>
  <c r="K94" i="6"/>
  <c r="L94" i="6"/>
  <c r="M94" i="6"/>
  <c r="N94" i="6"/>
  <c r="O94" i="6"/>
  <c r="K95" i="6"/>
  <c r="L95" i="6"/>
  <c r="M95" i="6"/>
  <c r="N95" i="6"/>
  <c r="O95" i="6"/>
  <c r="K97" i="6"/>
  <c r="L97" i="6"/>
  <c r="M97" i="6"/>
  <c r="N97" i="6"/>
  <c r="O97" i="6"/>
  <c r="K98" i="6"/>
  <c r="L98" i="6"/>
  <c r="M98" i="6"/>
  <c r="N98" i="6"/>
  <c r="O98" i="6"/>
  <c r="K109" i="6"/>
  <c r="L109" i="6"/>
  <c r="M109" i="6"/>
  <c r="N109" i="6"/>
  <c r="O109" i="6"/>
  <c r="K110" i="6"/>
  <c r="L110" i="6"/>
  <c r="M110" i="6"/>
  <c r="N110" i="6"/>
  <c r="O110" i="6"/>
  <c r="K111" i="6"/>
  <c r="L111" i="6"/>
  <c r="M111" i="6"/>
  <c r="N111" i="6"/>
  <c r="O111" i="6"/>
  <c r="K112" i="6"/>
  <c r="L112" i="6"/>
  <c r="M112" i="6"/>
  <c r="N112" i="6"/>
  <c r="O112" i="6"/>
  <c r="K113" i="6"/>
  <c r="L113" i="6"/>
  <c r="M113" i="6"/>
  <c r="N113" i="6"/>
  <c r="O113" i="6"/>
  <c r="K139" i="6"/>
  <c r="L139" i="6"/>
  <c r="M139" i="6"/>
  <c r="N139" i="6"/>
  <c r="O139" i="6"/>
  <c r="K143" i="6"/>
  <c r="L143" i="6"/>
  <c r="M143" i="6"/>
  <c r="N143" i="6"/>
  <c r="O143" i="6"/>
  <c r="K149" i="6"/>
  <c r="L149" i="6"/>
  <c r="M149" i="6"/>
  <c r="N149" i="6"/>
  <c r="O149" i="6"/>
  <c r="K159" i="6"/>
  <c r="L159" i="6"/>
  <c r="M159" i="6"/>
  <c r="N159" i="6"/>
  <c r="O159" i="6"/>
  <c r="K160" i="6"/>
  <c r="L160" i="6"/>
  <c r="M160" i="6"/>
  <c r="N160" i="6"/>
  <c r="O160" i="6"/>
  <c r="K161" i="6"/>
  <c r="L161" i="6"/>
  <c r="M161" i="6"/>
  <c r="N161" i="6"/>
  <c r="O161" i="6"/>
  <c r="K162" i="6"/>
  <c r="L162" i="6"/>
  <c r="M162" i="6"/>
  <c r="N162" i="6"/>
  <c r="O162" i="6"/>
  <c r="K163" i="6"/>
  <c r="L163" i="6"/>
  <c r="M163" i="6"/>
  <c r="N163" i="6"/>
  <c r="O163" i="6"/>
  <c r="K165" i="6"/>
  <c r="L165" i="6"/>
  <c r="M165" i="6"/>
  <c r="N165" i="6"/>
  <c r="O165" i="6"/>
  <c r="K166" i="6"/>
  <c r="L166" i="6"/>
  <c r="M166" i="6"/>
  <c r="N166" i="6"/>
  <c r="O166" i="6"/>
  <c r="K168" i="6"/>
  <c r="L168" i="6"/>
  <c r="M168" i="6"/>
  <c r="N168" i="6"/>
  <c r="O168" i="6"/>
  <c r="K186" i="6"/>
  <c r="L186" i="6"/>
  <c r="M186" i="6"/>
  <c r="N186" i="6"/>
  <c r="O186" i="6"/>
  <c r="K187" i="6"/>
  <c r="L187" i="6"/>
  <c r="M187" i="6"/>
  <c r="N187" i="6"/>
  <c r="O187" i="6"/>
  <c r="K193" i="6"/>
  <c r="L193" i="6"/>
  <c r="M193" i="6"/>
  <c r="N193" i="6"/>
  <c r="O193" i="6"/>
  <c r="K196" i="6"/>
  <c r="L196" i="6"/>
  <c r="M196" i="6"/>
  <c r="N196" i="6"/>
  <c r="O196" i="6"/>
  <c r="K209" i="6"/>
  <c r="L209" i="6"/>
  <c r="M209" i="6"/>
  <c r="N209" i="6"/>
  <c r="O209" i="6"/>
  <c r="L216" i="6"/>
  <c r="M216" i="6"/>
  <c r="N216" i="6"/>
  <c r="O216" i="6"/>
  <c r="K217" i="6"/>
  <c r="L217" i="6"/>
  <c r="M217" i="6"/>
  <c r="N217" i="6"/>
  <c r="O217" i="6"/>
  <c r="K218" i="6"/>
  <c r="L218" i="6"/>
  <c r="M218" i="6"/>
  <c r="N218" i="6"/>
  <c r="O218" i="6"/>
  <c r="K220" i="6"/>
  <c r="L220" i="6"/>
  <c r="M220" i="6"/>
  <c r="N220" i="6"/>
  <c r="O220" i="6"/>
  <c r="L227" i="6"/>
  <c r="M227" i="6"/>
  <c r="N227" i="6"/>
  <c r="O227" i="6"/>
  <c r="L228" i="6"/>
  <c r="M228" i="6"/>
  <c r="N228" i="6"/>
  <c r="O228" i="6"/>
  <c r="K231" i="6"/>
  <c r="L231" i="6"/>
  <c r="M231" i="6"/>
  <c r="N231" i="6"/>
  <c r="O231" i="6"/>
  <c r="L232" i="6"/>
  <c r="M232" i="6"/>
  <c r="N232" i="6"/>
  <c r="O232" i="6"/>
  <c r="K233" i="6"/>
  <c r="L233" i="6"/>
  <c r="M233" i="6"/>
  <c r="N233" i="6"/>
  <c r="O233" i="6"/>
  <c r="L235" i="6"/>
  <c r="M235" i="6"/>
  <c r="N235" i="6"/>
  <c r="O235" i="6"/>
  <c r="K237" i="6"/>
  <c r="L237" i="6"/>
  <c r="M237" i="6"/>
  <c r="N237" i="6"/>
  <c r="O237" i="6"/>
  <c r="K238" i="6"/>
  <c r="L238" i="6"/>
  <c r="M238" i="6"/>
  <c r="N238" i="6"/>
  <c r="O238" i="6"/>
  <c r="K241" i="6"/>
  <c r="L241" i="6"/>
  <c r="M241" i="6"/>
  <c r="N241" i="6"/>
  <c r="O241" i="6"/>
  <c r="K242" i="6"/>
  <c r="L242" i="6"/>
  <c r="M242" i="6"/>
  <c r="N242" i="6"/>
  <c r="O242" i="6"/>
  <c r="K243" i="6"/>
  <c r="L243" i="6"/>
  <c r="M243" i="6"/>
  <c r="N243" i="6"/>
  <c r="O243" i="6"/>
  <c r="K244" i="6"/>
  <c r="L244" i="6"/>
  <c r="M244" i="6"/>
  <c r="N244" i="6"/>
  <c r="O244" i="6"/>
  <c r="K245" i="6"/>
  <c r="L245" i="6"/>
  <c r="M245" i="6"/>
  <c r="N245" i="6"/>
  <c r="O245" i="6"/>
  <c r="L254" i="6"/>
  <c r="M254" i="6"/>
  <c r="N254" i="6"/>
  <c r="O254" i="6"/>
  <c r="K255" i="6"/>
  <c r="L255" i="6"/>
  <c r="M255" i="6"/>
  <c r="N255" i="6"/>
  <c r="O255" i="6"/>
  <c r="K256" i="6"/>
  <c r="L256" i="6"/>
  <c r="M256" i="6"/>
  <c r="N256" i="6"/>
  <c r="O256" i="6"/>
  <c r="K258" i="6"/>
  <c r="L258" i="6"/>
  <c r="M258" i="6"/>
  <c r="N258" i="6"/>
  <c r="O258" i="6"/>
  <c r="K260" i="6"/>
  <c r="L260" i="6"/>
  <c r="M260" i="6"/>
  <c r="N260" i="6"/>
  <c r="O260" i="6"/>
  <c r="K261" i="6"/>
  <c r="L261" i="6"/>
  <c r="M261" i="6"/>
  <c r="N261" i="6"/>
  <c r="O261" i="6"/>
  <c r="K264" i="6"/>
  <c r="L264" i="6"/>
  <c r="M264" i="6"/>
  <c r="N264" i="6"/>
  <c r="O264" i="6"/>
  <c r="L267" i="6"/>
  <c r="M267" i="6"/>
  <c r="N267" i="6"/>
  <c r="O267" i="6"/>
  <c r="L268" i="6"/>
  <c r="M268" i="6"/>
  <c r="N268" i="6"/>
  <c r="O268" i="6"/>
  <c r="K269" i="6"/>
  <c r="L269" i="6"/>
  <c r="M269" i="6"/>
  <c r="N269" i="6"/>
  <c r="O269" i="6"/>
  <c r="K270" i="6"/>
  <c r="L270" i="6"/>
  <c r="M270" i="6"/>
  <c r="N270" i="6"/>
  <c r="O270" i="6"/>
  <c r="K272" i="6"/>
  <c r="L272" i="6"/>
  <c r="M272" i="6"/>
  <c r="N272" i="6"/>
  <c r="O272" i="6"/>
  <c r="K274" i="6"/>
  <c r="L274" i="6"/>
  <c r="M274" i="6"/>
  <c r="N274" i="6"/>
  <c r="O274" i="6"/>
  <c r="L278" i="6"/>
  <c r="M278" i="6"/>
  <c r="N278" i="6"/>
  <c r="O278" i="6"/>
  <c r="K279" i="6"/>
  <c r="L279" i="6"/>
  <c r="M279" i="6"/>
  <c r="N279" i="6"/>
  <c r="O279" i="6"/>
  <c r="K280" i="6"/>
  <c r="L280" i="6"/>
  <c r="M280" i="6"/>
  <c r="N280" i="6"/>
  <c r="O280" i="6"/>
  <c r="K281" i="6"/>
  <c r="L281" i="6"/>
  <c r="M281" i="6"/>
  <c r="N281" i="6"/>
  <c r="O281" i="6"/>
  <c r="K283" i="6"/>
  <c r="L283" i="6"/>
  <c r="M283" i="6"/>
  <c r="N283" i="6"/>
  <c r="O283" i="6"/>
  <c r="K285" i="6"/>
  <c r="L285" i="6"/>
  <c r="M285" i="6"/>
  <c r="N285" i="6"/>
  <c r="O285" i="6"/>
  <c r="L289" i="6"/>
  <c r="M289" i="6"/>
  <c r="N289" i="6"/>
  <c r="O289" i="6"/>
  <c r="K290" i="6"/>
  <c r="L290" i="6"/>
  <c r="M290" i="6"/>
  <c r="N290" i="6"/>
  <c r="O290" i="6"/>
  <c r="K291" i="6"/>
  <c r="L291" i="6"/>
  <c r="M291" i="6"/>
  <c r="N291" i="6"/>
  <c r="O291" i="6"/>
  <c r="K293" i="6"/>
  <c r="L293" i="6"/>
  <c r="M293" i="6"/>
  <c r="N293" i="6"/>
  <c r="O293" i="6"/>
  <c r="K294" i="6"/>
  <c r="L294" i="6"/>
  <c r="M294" i="6"/>
  <c r="N294" i="6"/>
  <c r="O294" i="6"/>
  <c r="L301" i="6"/>
  <c r="M301" i="6"/>
  <c r="N301" i="6"/>
  <c r="O301" i="6"/>
  <c r="K302" i="6"/>
  <c r="L302" i="6"/>
  <c r="M302" i="6"/>
  <c r="N302" i="6"/>
  <c r="O302" i="6"/>
  <c r="K303" i="6"/>
  <c r="L303" i="6"/>
  <c r="M303" i="6"/>
  <c r="N303" i="6"/>
  <c r="O303" i="6"/>
  <c r="K305" i="6"/>
  <c r="L305" i="6"/>
  <c r="M305" i="6"/>
  <c r="N305" i="6"/>
  <c r="O305" i="6"/>
  <c r="K306" i="6"/>
  <c r="L306" i="6"/>
  <c r="M306" i="6"/>
  <c r="N306" i="6"/>
  <c r="O306" i="6"/>
  <c r="K310" i="6"/>
  <c r="L310" i="6"/>
  <c r="M310" i="6"/>
  <c r="N310" i="6"/>
  <c r="O310" i="6"/>
  <c r="K311" i="6"/>
  <c r="L311" i="6"/>
  <c r="M311" i="6"/>
  <c r="N311" i="6"/>
  <c r="O311" i="6"/>
  <c r="K312" i="6"/>
  <c r="L312" i="6"/>
  <c r="M312" i="6"/>
  <c r="N312" i="6"/>
  <c r="O312" i="6"/>
  <c r="K313" i="6"/>
  <c r="L313" i="6"/>
  <c r="M313" i="6"/>
  <c r="N313" i="6"/>
  <c r="O313" i="6"/>
  <c r="K314" i="6"/>
  <c r="L314" i="6"/>
  <c r="M314" i="6"/>
  <c r="N314" i="6"/>
  <c r="O314" i="6"/>
  <c r="K315" i="6"/>
  <c r="L315" i="6"/>
  <c r="M315" i="6"/>
  <c r="N315" i="6"/>
  <c r="O315" i="6"/>
  <c r="K316" i="6"/>
  <c r="L316" i="6"/>
  <c r="M316" i="6"/>
  <c r="N316" i="6"/>
  <c r="O316" i="6"/>
  <c r="K317" i="6"/>
  <c r="L317" i="6"/>
  <c r="M317" i="6"/>
  <c r="N317" i="6"/>
  <c r="O317" i="6"/>
  <c r="K326" i="6"/>
  <c r="L326" i="6"/>
  <c r="M326" i="6"/>
  <c r="N326" i="6"/>
  <c r="O326" i="6"/>
  <c r="K327" i="6"/>
  <c r="L327" i="6"/>
  <c r="M327" i="6"/>
  <c r="N327" i="6"/>
  <c r="O327" i="6"/>
  <c r="K328" i="6"/>
  <c r="L328" i="6"/>
  <c r="M328" i="6"/>
  <c r="N328" i="6"/>
  <c r="O328" i="6"/>
  <c r="K330" i="6"/>
  <c r="L330" i="6"/>
  <c r="M330" i="6"/>
  <c r="N330" i="6"/>
  <c r="O330" i="6"/>
  <c r="K332" i="6"/>
  <c r="L332" i="6"/>
  <c r="M332" i="6"/>
  <c r="N332" i="6"/>
  <c r="O332" i="6"/>
  <c r="K334" i="6"/>
  <c r="L334" i="6"/>
  <c r="M334" i="6"/>
  <c r="N334" i="6"/>
  <c r="O334" i="6"/>
  <c r="G338" i="6"/>
  <c r="H338" i="6"/>
  <c r="K338" i="6"/>
  <c r="G339" i="6"/>
  <c r="H339" i="6"/>
  <c r="L339" i="6"/>
  <c r="G340" i="6"/>
  <c r="H340" i="6"/>
  <c r="M340" i="6"/>
  <c r="G341" i="6"/>
  <c r="H341" i="6"/>
  <c r="N341" i="6"/>
  <c r="G342" i="6"/>
  <c r="H342" i="6"/>
  <c r="O342" i="6"/>
  <c r="E10" i="23"/>
  <c r="K10" i="23"/>
  <c r="L10" i="23"/>
  <c r="M10" i="23"/>
  <c r="N10" i="23"/>
  <c r="O10" i="23"/>
  <c r="E11" i="23"/>
  <c r="K11" i="23"/>
  <c r="L11" i="23"/>
  <c r="M11" i="23"/>
  <c r="N11" i="23"/>
  <c r="O11" i="23"/>
  <c r="E12" i="23"/>
  <c r="K12" i="23"/>
  <c r="L12" i="23"/>
  <c r="M12" i="23"/>
  <c r="N12" i="23"/>
  <c r="O12" i="23"/>
  <c r="E13" i="23"/>
  <c r="K13" i="23"/>
  <c r="L13" i="23"/>
  <c r="M13" i="23"/>
  <c r="N13" i="23"/>
  <c r="O13" i="23"/>
  <c r="K64" i="23"/>
  <c r="L64" i="23"/>
  <c r="M64" i="23"/>
  <c r="N64" i="23"/>
  <c r="O64" i="23"/>
  <c r="K71" i="23"/>
  <c r="L71" i="23"/>
  <c r="M71" i="23"/>
  <c r="N71" i="23"/>
  <c r="O71" i="23"/>
  <c r="K72" i="23"/>
  <c r="L72" i="23"/>
  <c r="M72" i="23"/>
  <c r="N72" i="23"/>
  <c r="O72" i="23"/>
  <c r="K75" i="23"/>
  <c r="L75" i="23"/>
  <c r="M75" i="23"/>
  <c r="N75" i="23"/>
  <c r="O75" i="23"/>
  <c r="K76" i="23"/>
  <c r="L76" i="23"/>
  <c r="M76" i="23"/>
  <c r="N76" i="23"/>
  <c r="O76" i="23"/>
  <c r="K79" i="23"/>
  <c r="L79" i="23"/>
  <c r="M79" i="23"/>
  <c r="N79" i="23"/>
  <c r="O79" i="23"/>
  <c r="K83" i="23"/>
  <c r="L83" i="23"/>
  <c r="M83" i="23"/>
  <c r="N83" i="23"/>
  <c r="O83" i="23"/>
  <c r="K84" i="23"/>
  <c r="L84" i="23"/>
  <c r="M84" i="23"/>
  <c r="N84" i="23"/>
  <c r="O84" i="23"/>
  <c r="K85" i="23"/>
  <c r="L85" i="23"/>
  <c r="M85" i="23"/>
  <c r="N85" i="23"/>
  <c r="O85" i="23"/>
  <c r="K86" i="23"/>
  <c r="L86" i="23"/>
  <c r="M86" i="23"/>
  <c r="N86" i="23"/>
  <c r="O86" i="23"/>
  <c r="K87" i="23"/>
  <c r="L87" i="23"/>
  <c r="M87" i="23"/>
  <c r="N87" i="23"/>
  <c r="O87" i="23"/>
  <c r="K88" i="23"/>
  <c r="L88" i="23"/>
  <c r="M88" i="23"/>
  <c r="N88" i="23"/>
  <c r="O88" i="23"/>
  <c r="K89" i="23"/>
  <c r="L89" i="23"/>
  <c r="M89" i="23"/>
  <c r="N89" i="23"/>
  <c r="O89" i="23"/>
  <c r="K90" i="23"/>
  <c r="L90" i="23"/>
  <c r="M90" i="23"/>
  <c r="N90" i="23"/>
  <c r="O90" i="23"/>
  <c r="K93" i="23"/>
  <c r="L93" i="23"/>
  <c r="M93" i="23"/>
  <c r="N93" i="23"/>
  <c r="O93" i="23"/>
  <c r="K94" i="23"/>
  <c r="L94" i="23"/>
  <c r="M94" i="23"/>
  <c r="N94" i="23"/>
  <c r="O94" i="23"/>
  <c r="K95" i="23"/>
  <c r="L95" i="23"/>
  <c r="M95" i="23"/>
  <c r="N95" i="23"/>
  <c r="O95" i="23"/>
  <c r="K97" i="23"/>
  <c r="L97" i="23"/>
  <c r="M97" i="23"/>
  <c r="N97" i="23"/>
  <c r="O97" i="23"/>
  <c r="K98" i="23"/>
  <c r="L98" i="23"/>
  <c r="M98" i="23"/>
  <c r="N98" i="23"/>
  <c r="O98" i="23"/>
  <c r="K109" i="23"/>
  <c r="L109" i="23"/>
  <c r="M109" i="23"/>
  <c r="N109" i="23"/>
  <c r="O109" i="23"/>
  <c r="K110" i="23"/>
  <c r="L110" i="23"/>
  <c r="M110" i="23"/>
  <c r="N110" i="23"/>
  <c r="O110" i="23"/>
  <c r="K111" i="23"/>
  <c r="L111" i="23"/>
  <c r="M111" i="23"/>
  <c r="N111" i="23"/>
  <c r="O111" i="23"/>
  <c r="K112" i="23"/>
  <c r="L112" i="23"/>
  <c r="M112" i="23"/>
  <c r="N112" i="23"/>
  <c r="O112" i="23"/>
  <c r="K113" i="23"/>
  <c r="L113" i="23"/>
  <c r="M113" i="23"/>
  <c r="N113" i="23"/>
  <c r="O113" i="23"/>
  <c r="K139" i="23"/>
  <c r="L139" i="23"/>
  <c r="M139" i="23"/>
  <c r="N139" i="23"/>
  <c r="O139" i="23"/>
  <c r="K143" i="23"/>
  <c r="L143" i="23"/>
  <c r="M143" i="23"/>
  <c r="N143" i="23"/>
  <c r="O143" i="23"/>
  <c r="K149" i="23"/>
  <c r="L149" i="23"/>
  <c r="M149" i="23"/>
  <c r="N149" i="23"/>
  <c r="O149" i="23"/>
  <c r="K159" i="23"/>
  <c r="L159" i="23"/>
  <c r="M159" i="23"/>
  <c r="N159" i="23"/>
  <c r="O159" i="23"/>
  <c r="K160" i="23"/>
  <c r="L160" i="23"/>
  <c r="M160" i="23"/>
  <c r="N160" i="23"/>
  <c r="O160" i="23"/>
  <c r="K161" i="23"/>
  <c r="L161" i="23"/>
  <c r="M161" i="23"/>
  <c r="N161" i="23"/>
  <c r="O161" i="23"/>
  <c r="K162" i="23"/>
  <c r="L162" i="23"/>
  <c r="M162" i="23"/>
  <c r="N162" i="23"/>
  <c r="O162" i="23"/>
  <c r="K163" i="23"/>
  <c r="L163" i="23"/>
  <c r="M163" i="23"/>
  <c r="N163" i="23"/>
  <c r="O163" i="23"/>
  <c r="K165" i="23"/>
  <c r="L165" i="23"/>
  <c r="M165" i="23"/>
  <c r="N165" i="23"/>
  <c r="O165" i="23"/>
  <c r="K166" i="23"/>
  <c r="L166" i="23"/>
  <c r="M166" i="23"/>
  <c r="N166" i="23"/>
  <c r="O166" i="23"/>
  <c r="K168" i="23"/>
  <c r="L168" i="23"/>
  <c r="M168" i="23"/>
  <c r="N168" i="23"/>
  <c r="O168" i="23"/>
  <c r="K186" i="23"/>
  <c r="L186" i="23"/>
  <c r="M186" i="23"/>
  <c r="N186" i="23"/>
  <c r="O186" i="23"/>
  <c r="K187" i="23"/>
  <c r="L187" i="23"/>
  <c r="M187" i="23"/>
  <c r="N187" i="23"/>
  <c r="O187" i="23"/>
  <c r="K193" i="23"/>
  <c r="L193" i="23"/>
  <c r="M193" i="23"/>
  <c r="N193" i="23"/>
  <c r="O193" i="23"/>
  <c r="K196" i="23"/>
  <c r="L196" i="23"/>
  <c r="M196" i="23"/>
  <c r="N196" i="23"/>
  <c r="O196" i="23"/>
  <c r="K209" i="23"/>
  <c r="L209" i="23"/>
  <c r="M209" i="23"/>
  <c r="N209" i="23"/>
  <c r="O209" i="23"/>
  <c r="L216" i="23"/>
  <c r="M216" i="23"/>
  <c r="N216" i="23"/>
  <c r="O216" i="23"/>
  <c r="K217" i="23"/>
  <c r="L217" i="23"/>
  <c r="M217" i="23"/>
  <c r="N217" i="23"/>
  <c r="O217" i="23"/>
  <c r="K218" i="23"/>
  <c r="L218" i="23"/>
  <c r="M218" i="23"/>
  <c r="N218" i="23"/>
  <c r="O218" i="23"/>
  <c r="K220" i="23"/>
  <c r="L220" i="23"/>
  <c r="M220" i="23"/>
  <c r="N220" i="23"/>
  <c r="O220" i="23"/>
  <c r="L227" i="23"/>
  <c r="M227" i="23"/>
  <c r="N227" i="23"/>
  <c r="O227" i="23"/>
  <c r="L228" i="23"/>
  <c r="M228" i="23"/>
  <c r="N228" i="23"/>
  <c r="O228" i="23"/>
  <c r="K231" i="23"/>
  <c r="L231" i="23"/>
  <c r="M231" i="23"/>
  <c r="N231" i="23"/>
  <c r="O231" i="23"/>
  <c r="L232" i="23"/>
  <c r="M232" i="23"/>
  <c r="N232" i="23"/>
  <c r="O232" i="23"/>
  <c r="K233" i="23"/>
  <c r="L233" i="23"/>
  <c r="M233" i="23"/>
  <c r="N233" i="23"/>
  <c r="O233" i="23"/>
  <c r="L235" i="23"/>
  <c r="M235" i="23"/>
  <c r="N235" i="23"/>
  <c r="O235" i="23"/>
  <c r="K237" i="23"/>
  <c r="L237" i="23"/>
  <c r="M237" i="23"/>
  <c r="N237" i="23"/>
  <c r="O237" i="23"/>
  <c r="K238" i="23"/>
  <c r="L238" i="23"/>
  <c r="M238" i="23"/>
  <c r="N238" i="23"/>
  <c r="O238" i="23"/>
  <c r="K241" i="23"/>
  <c r="L241" i="23"/>
  <c r="M241" i="23"/>
  <c r="N241" i="23"/>
  <c r="O241" i="23"/>
  <c r="K242" i="23"/>
  <c r="L242" i="23"/>
  <c r="M242" i="23"/>
  <c r="N242" i="23"/>
  <c r="O242" i="23"/>
  <c r="K243" i="23"/>
  <c r="L243" i="23"/>
  <c r="M243" i="23"/>
  <c r="N243" i="23"/>
  <c r="O243" i="23"/>
  <c r="K244" i="23"/>
  <c r="L244" i="23"/>
  <c r="M244" i="23"/>
  <c r="N244" i="23"/>
  <c r="O244" i="23"/>
  <c r="K245" i="23"/>
  <c r="L245" i="23"/>
  <c r="M245" i="23"/>
  <c r="N245" i="23"/>
  <c r="O245" i="23"/>
  <c r="L254" i="23"/>
  <c r="M254" i="23"/>
  <c r="N254" i="23"/>
  <c r="O254" i="23"/>
  <c r="K255" i="23"/>
  <c r="L255" i="23"/>
  <c r="M255" i="23"/>
  <c r="N255" i="23"/>
  <c r="O255" i="23"/>
  <c r="K256" i="23"/>
  <c r="L256" i="23"/>
  <c r="M256" i="23"/>
  <c r="N256" i="23"/>
  <c r="O256" i="23"/>
  <c r="K258" i="23"/>
  <c r="L258" i="23"/>
  <c r="M258" i="23"/>
  <c r="N258" i="23"/>
  <c r="O258" i="23"/>
  <c r="K260" i="23"/>
  <c r="L260" i="23"/>
  <c r="M260" i="23"/>
  <c r="N260" i="23"/>
  <c r="O260" i="23"/>
  <c r="K261" i="23"/>
  <c r="L261" i="23"/>
  <c r="M261" i="23"/>
  <c r="N261" i="23"/>
  <c r="O261" i="23"/>
  <c r="K264" i="23"/>
  <c r="L264" i="23"/>
  <c r="M264" i="23"/>
  <c r="N264" i="23"/>
  <c r="O264" i="23"/>
  <c r="L267" i="23"/>
  <c r="M267" i="23"/>
  <c r="N267" i="23"/>
  <c r="O267" i="23"/>
  <c r="L268" i="23"/>
  <c r="M268" i="23"/>
  <c r="N268" i="23"/>
  <c r="O268" i="23"/>
  <c r="K269" i="23"/>
  <c r="L269" i="23"/>
  <c r="M269" i="23"/>
  <c r="N269" i="23"/>
  <c r="O269" i="23"/>
  <c r="K270" i="23"/>
  <c r="L270" i="23"/>
  <c r="M270" i="23"/>
  <c r="N270" i="23"/>
  <c r="O270" i="23"/>
  <c r="K272" i="23"/>
  <c r="L272" i="23"/>
  <c r="M272" i="23"/>
  <c r="N272" i="23"/>
  <c r="O272" i="23"/>
  <c r="K274" i="23"/>
  <c r="L274" i="23"/>
  <c r="M274" i="23"/>
  <c r="N274" i="23"/>
  <c r="O274" i="23"/>
  <c r="L278" i="23"/>
  <c r="M278" i="23"/>
  <c r="N278" i="23"/>
  <c r="O278" i="23"/>
  <c r="K279" i="23"/>
  <c r="L279" i="23"/>
  <c r="M279" i="23"/>
  <c r="N279" i="23"/>
  <c r="O279" i="23"/>
  <c r="K280" i="23"/>
  <c r="L280" i="23"/>
  <c r="M280" i="23"/>
  <c r="N280" i="23"/>
  <c r="O280" i="23"/>
  <c r="K281" i="23"/>
  <c r="L281" i="23"/>
  <c r="M281" i="23"/>
  <c r="N281" i="23"/>
  <c r="O281" i="23"/>
  <c r="K283" i="23"/>
  <c r="L283" i="23"/>
  <c r="M283" i="23"/>
  <c r="N283" i="23"/>
  <c r="O283" i="23"/>
  <c r="K285" i="23"/>
  <c r="L285" i="23"/>
  <c r="M285" i="23"/>
  <c r="N285" i="23"/>
  <c r="O285" i="23"/>
  <c r="L289" i="23"/>
  <c r="M289" i="23"/>
  <c r="N289" i="23"/>
  <c r="O289" i="23"/>
  <c r="K290" i="23"/>
  <c r="L290" i="23"/>
  <c r="M290" i="23"/>
  <c r="N290" i="23"/>
  <c r="O290" i="23"/>
  <c r="K291" i="23"/>
  <c r="L291" i="23"/>
  <c r="M291" i="23"/>
  <c r="N291" i="23"/>
  <c r="O291" i="23"/>
  <c r="K293" i="23"/>
  <c r="L293" i="23"/>
  <c r="M293" i="23"/>
  <c r="N293" i="23"/>
  <c r="O293" i="23"/>
  <c r="K294" i="23"/>
  <c r="L294" i="23"/>
  <c r="M294" i="23"/>
  <c r="N294" i="23"/>
  <c r="O294" i="23"/>
  <c r="L301" i="23"/>
  <c r="M301" i="23"/>
  <c r="N301" i="23"/>
  <c r="O301" i="23"/>
  <c r="K302" i="23"/>
  <c r="L302" i="23"/>
  <c r="M302" i="23"/>
  <c r="N302" i="23"/>
  <c r="O302" i="23"/>
  <c r="K303" i="23"/>
  <c r="L303" i="23"/>
  <c r="M303" i="23"/>
  <c r="N303" i="23"/>
  <c r="O303" i="23"/>
  <c r="K305" i="23"/>
  <c r="L305" i="23"/>
  <c r="M305" i="23"/>
  <c r="N305" i="23"/>
  <c r="O305" i="23"/>
  <c r="K306" i="23"/>
  <c r="L306" i="23"/>
  <c r="M306" i="23"/>
  <c r="N306" i="23"/>
  <c r="O306" i="23"/>
  <c r="K310" i="23"/>
  <c r="L310" i="23"/>
  <c r="M310" i="23"/>
  <c r="N310" i="23"/>
  <c r="O310" i="23"/>
  <c r="K311" i="23"/>
  <c r="L311" i="23"/>
  <c r="M311" i="23"/>
  <c r="N311" i="23"/>
  <c r="O311" i="23"/>
  <c r="K312" i="23"/>
  <c r="L312" i="23"/>
  <c r="M312" i="23"/>
  <c r="N312" i="23"/>
  <c r="O312" i="23"/>
  <c r="K313" i="23"/>
  <c r="L313" i="23"/>
  <c r="M313" i="23"/>
  <c r="N313" i="23"/>
  <c r="O313" i="23"/>
  <c r="K314" i="23"/>
  <c r="L314" i="23"/>
  <c r="M314" i="23"/>
  <c r="N314" i="23"/>
  <c r="O314" i="23"/>
  <c r="K315" i="23"/>
  <c r="L315" i="23"/>
  <c r="M315" i="23"/>
  <c r="N315" i="23"/>
  <c r="O315" i="23"/>
  <c r="K316" i="23"/>
  <c r="L316" i="23"/>
  <c r="M316" i="23"/>
  <c r="N316" i="23"/>
  <c r="O316" i="23"/>
  <c r="K317" i="23"/>
  <c r="L317" i="23"/>
  <c r="M317" i="23"/>
  <c r="N317" i="23"/>
  <c r="O317" i="23"/>
  <c r="K326" i="23"/>
  <c r="L326" i="23"/>
  <c r="M326" i="23"/>
  <c r="N326" i="23"/>
  <c r="O326" i="23"/>
  <c r="K327" i="23"/>
  <c r="L327" i="23"/>
  <c r="M327" i="23"/>
  <c r="N327" i="23"/>
  <c r="O327" i="23"/>
  <c r="K328" i="23"/>
  <c r="L328" i="23"/>
  <c r="M328" i="23"/>
  <c r="N328" i="23"/>
  <c r="O328" i="23"/>
  <c r="K330" i="23"/>
  <c r="L330" i="23"/>
  <c r="M330" i="23"/>
  <c r="N330" i="23"/>
  <c r="O330" i="23"/>
  <c r="K332" i="23"/>
  <c r="L332" i="23"/>
  <c r="M332" i="23"/>
  <c r="N332" i="23"/>
  <c r="O332" i="23"/>
  <c r="K334" i="23"/>
  <c r="L334" i="23"/>
  <c r="M334" i="23"/>
  <c r="N334" i="23"/>
  <c r="O334" i="23"/>
  <c r="G338" i="23"/>
  <c r="H338" i="23"/>
  <c r="K338" i="23"/>
  <c r="G339" i="23"/>
  <c r="H339" i="23"/>
  <c r="L339" i="23"/>
  <c r="G340" i="23"/>
  <c r="H340" i="23"/>
  <c r="M340" i="23"/>
  <c r="G341" i="23"/>
  <c r="H341" i="23"/>
  <c r="N341" i="23"/>
  <c r="G342" i="23"/>
  <c r="H342" i="23"/>
  <c r="O342" i="23"/>
  <c r="E10" i="28"/>
  <c r="K10" i="28"/>
  <c r="L10" i="28"/>
  <c r="M10" i="28"/>
  <c r="N10" i="28"/>
  <c r="O10" i="28"/>
  <c r="E11" i="28"/>
  <c r="K11" i="28"/>
  <c r="L11" i="28"/>
  <c r="M11" i="28"/>
  <c r="N11" i="28"/>
  <c r="O11" i="28"/>
  <c r="E12" i="28"/>
  <c r="K12" i="28"/>
  <c r="L12" i="28"/>
  <c r="M12" i="28"/>
  <c r="N12" i="28"/>
  <c r="O12" i="28"/>
  <c r="E13" i="28"/>
  <c r="K13" i="28"/>
  <c r="L13" i="28"/>
  <c r="M13" i="28"/>
  <c r="N13" i="28"/>
  <c r="O13" i="28"/>
  <c r="K64" i="28"/>
  <c r="L64" i="28"/>
  <c r="M64" i="28"/>
  <c r="N64" i="28"/>
  <c r="O64" i="28"/>
  <c r="K71" i="28"/>
  <c r="L71" i="28"/>
  <c r="M71" i="28"/>
  <c r="N71" i="28"/>
  <c r="O71" i="28"/>
  <c r="K72" i="28"/>
  <c r="L72" i="28"/>
  <c r="M72" i="28"/>
  <c r="N72" i="28"/>
  <c r="O72" i="28"/>
  <c r="K75" i="28"/>
  <c r="L75" i="28"/>
  <c r="M75" i="28"/>
  <c r="N75" i="28"/>
  <c r="O75" i="28"/>
  <c r="K76" i="28"/>
  <c r="L76" i="28"/>
  <c r="M76" i="28"/>
  <c r="N76" i="28"/>
  <c r="O76" i="28"/>
  <c r="K79" i="28"/>
  <c r="L79" i="28"/>
  <c r="M79" i="28"/>
  <c r="N79" i="28"/>
  <c r="O79" i="28"/>
  <c r="K83" i="28"/>
  <c r="L83" i="28"/>
  <c r="M83" i="28"/>
  <c r="N83" i="28"/>
  <c r="O83" i="28"/>
  <c r="K84" i="28"/>
  <c r="L84" i="28"/>
  <c r="M84" i="28"/>
  <c r="N84" i="28"/>
  <c r="O84" i="28"/>
  <c r="K85" i="28"/>
  <c r="L85" i="28"/>
  <c r="M85" i="28"/>
  <c r="N85" i="28"/>
  <c r="O85" i="28"/>
  <c r="K86" i="28"/>
  <c r="L86" i="28"/>
  <c r="M86" i="28"/>
  <c r="N86" i="28"/>
  <c r="O86" i="28"/>
  <c r="K87" i="28"/>
  <c r="L87" i="28"/>
  <c r="M87" i="28"/>
  <c r="N87" i="28"/>
  <c r="O87" i="28"/>
  <c r="K88" i="28"/>
  <c r="L88" i="28"/>
  <c r="M88" i="28"/>
  <c r="N88" i="28"/>
  <c r="O88" i="28"/>
  <c r="K89" i="28"/>
  <c r="L89" i="28"/>
  <c r="M89" i="28"/>
  <c r="N89" i="28"/>
  <c r="O89" i="28"/>
  <c r="K90" i="28"/>
  <c r="L90" i="28"/>
  <c r="M90" i="28"/>
  <c r="N90" i="28"/>
  <c r="O90" i="28"/>
  <c r="K93" i="28"/>
  <c r="L93" i="28"/>
  <c r="M93" i="28"/>
  <c r="N93" i="28"/>
  <c r="O93" i="28"/>
  <c r="K94" i="28"/>
  <c r="L94" i="28"/>
  <c r="M94" i="28"/>
  <c r="N94" i="28"/>
  <c r="O94" i="28"/>
  <c r="K95" i="28"/>
  <c r="L95" i="28"/>
  <c r="M95" i="28"/>
  <c r="N95" i="28"/>
  <c r="O95" i="28"/>
  <c r="K97" i="28"/>
  <c r="L97" i="28"/>
  <c r="M97" i="28"/>
  <c r="N97" i="28"/>
  <c r="O97" i="28"/>
  <c r="K98" i="28"/>
  <c r="L98" i="28"/>
  <c r="M98" i="28"/>
  <c r="N98" i="28"/>
  <c r="O98" i="28"/>
  <c r="K109" i="28"/>
  <c r="L109" i="28"/>
  <c r="M109" i="28"/>
  <c r="N109" i="28"/>
  <c r="O109" i="28"/>
  <c r="K110" i="28"/>
  <c r="L110" i="28"/>
  <c r="M110" i="28"/>
  <c r="N110" i="28"/>
  <c r="O110" i="28"/>
  <c r="K111" i="28"/>
  <c r="L111" i="28"/>
  <c r="M111" i="28"/>
  <c r="N111" i="28"/>
  <c r="O111" i="28"/>
  <c r="K112" i="28"/>
  <c r="L112" i="28"/>
  <c r="M112" i="28"/>
  <c r="N112" i="28"/>
  <c r="O112" i="28"/>
  <c r="K113" i="28"/>
  <c r="L113" i="28"/>
  <c r="M113" i="28"/>
  <c r="N113" i="28"/>
  <c r="O113" i="28"/>
  <c r="K139" i="28"/>
  <c r="L139" i="28"/>
  <c r="M139" i="28"/>
  <c r="N139" i="28"/>
  <c r="O139" i="28"/>
  <c r="K143" i="28"/>
  <c r="L143" i="28"/>
  <c r="M143" i="28"/>
  <c r="N143" i="28"/>
  <c r="O143" i="28"/>
  <c r="K149" i="28"/>
  <c r="L149" i="28"/>
  <c r="M149" i="28"/>
  <c r="N149" i="28"/>
  <c r="O149" i="28"/>
  <c r="K159" i="28"/>
  <c r="L159" i="28"/>
  <c r="M159" i="28"/>
  <c r="N159" i="28"/>
  <c r="O159" i="28"/>
  <c r="K160" i="28"/>
  <c r="L160" i="28"/>
  <c r="M160" i="28"/>
  <c r="N160" i="28"/>
  <c r="O160" i="28"/>
  <c r="K161" i="28"/>
  <c r="L161" i="28"/>
  <c r="M161" i="28"/>
  <c r="N161" i="28"/>
  <c r="O161" i="28"/>
  <c r="K162" i="28"/>
  <c r="L162" i="28"/>
  <c r="M162" i="28"/>
  <c r="N162" i="28"/>
  <c r="O162" i="28"/>
  <c r="K163" i="28"/>
  <c r="L163" i="28"/>
  <c r="M163" i="28"/>
  <c r="N163" i="28"/>
  <c r="O163" i="28"/>
  <c r="K165" i="28"/>
  <c r="L165" i="28"/>
  <c r="M165" i="28"/>
  <c r="N165" i="28"/>
  <c r="O165" i="28"/>
  <c r="K166" i="28"/>
  <c r="L166" i="28"/>
  <c r="M166" i="28"/>
  <c r="N166" i="28"/>
  <c r="O166" i="28"/>
  <c r="K168" i="28"/>
  <c r="L168" i="28"/>
  <c r="M168" i="28"/>
  <c r="N168" i="28"/>
  <c r="O168" i="28"/>
  <c r="K186" i="28"/>
  <c r="L186" i="28"/>
  <c r="M186" i="28"/>
  <c r="N186" i="28"/>
  <c r="O186" i="28"/>
  <c r="K187" i="28"/>
  <c r="L187" i="28"/>
  <c r="M187" i="28"/>
  <c r="N187" i="28"/>
  <c r="O187" i="28"/>
  <c r="K193" i="28"/>
  <c r="L193" i="28"/>
  <c r="M193" i="28"/>
  <c r="N193" i="28"/>
  <c r="O193" i="28"/>
  <c r="K196" i="28"/>
  <c r="L196" i="28"/>
  <c r="M196" i="28"/>
  <c r="N196" i="28"/>
  <c r="O196" i="28"/>
  <c r="K209" i="28"/>
  <c r="L209" i="28"/>
  <c r="M209" i="28"/>
  <c r="N209" i="28"/>
  <c r="O209" i="28"/>
  <c r="L216" i="28"/>
  <c r="M216" i="28"/>
  <c r="N216" i="28"/>
  <c r="O216" i="28"/>
  <c r="K217" i="28"/>
  <c r="L217" i="28"/>
  <c r="M217" i="28"/>
  <c r="N217" i="28"/>
  <c r="O217" i="28"/>
  <c r="K218" i="28"/>
  <c r="L218" i="28"/>
  <c r="M218" i="28"/>
  <c r="N218" i="28"/>
  <c r="O218" i="28"/>
  <c r="K220" i="28"/>
  <c r="L220" i="28"/>
  <c r="M220" i="28"/>
  <c r="N220" i="28"/>
  <c r="O220" i="28"/>
  <c r="L227" i="28"/>
  <c r="M227" i="28"/>
  <c r="N227" i="28"/>
  <c r="O227" i="28"/>
  <c r="L228" i="28"/>
  <c r="M228" i="28"/>
  <c r="N228" i="28"/>
  <c r="O228" i="28"/>
  <c r="K231" i="28"/>
  <c r="L231" i="28"/>
  <c r="M231" i="28"/>
  <c r="N231" i="28"/>
  <c r="O231" i="28"/>
  <c r="L232" i="28"/>
  <c r="M232" i="28"/>
  <c r="N232" i="28"/>
  <c r="O232" i="28"/>
  <c r="K233" i="28"/>
  <c r="L233" i="28"/>
  <c r="M233" i="28"/>
  <c r="N233" i="28"/>
  <c r="O233" i="28"/>
  <c r="L235" i="28"/>
  <c r="M235" i="28"/>
  <c r="N235" i="28"/>
  <c r="O235" i="28"/>
  <c r="K237" i="28"/>
  <c r="L237" i="28"/>
  <c r="M237" i="28"/>
  <c r="N237" i="28"/>
  <c r="O237" i="28"/>
  <c r="K238" i="28"/>
  <c r="L238" i="28"/>
  <c r="M238" i="28"/>
  <c r="N238" i="28"/>
  <c r="O238" i="28"/>
  <c r="K241" i="28"/>
  <c r="L241" i="28"/>
  <c r="M241" i="28"/>
  <c r="N241" i="28"/>
  <c r="O241" i="28"/>
  <c r="K242" i="28"/>
  <c r="L242" i="28"/>
  <c r="M242" i="28"/>
  <c r="N242" i="28"/>
  <c r="O242" i="28"/>
  <c r="K243" i="28"/>
  <c r="L243" i="28"/>
  <c r="M243" i="28"/>
  <c r="N243" i="28"/>
  <c r="O243" i="28"/>
  <c r="K244" i="28"/>
  <c r="L244" i="28"/>
  <c r="M244" i="28"/>
  <c r="N244" i="28"/>
  <c r="O244" i="28"/>
  <c r="K245" i="28"/>
  <c r="L245" i="28"/>
  <c r="M245" i="28"/>
  <c r="N245" i="28"/>
  <c r="O245" i="28"/>
  <c r="L254" i="28"/>
  <c r="M254" i="28"/>
  <c r="N254" i="28"/>
  <c r="O254" i="28"/>
  <c r="K255" i="28"/>
  <c r="L255" i="28"/>
  <c r="M255" i="28"/>
  <c r="N255" i="28"/>
  <c r="O255" i="28"/>
  <c r="K256" i="28"/>
  <c r="L256" i="28"/>
  <c r="M256" i="28"/>
  <c r="N256" i="28"/>
  <c r="O256" i="28"/>
  <c r="K258" i="28"/>
  <c r="L258" i="28"/>
  <c r="M258" i="28"/>
  <c r="N258" i="28"/>
  <c r="O258" i="28"/>
  <c r="K260" i="28"/>
  <c r="L260" i="28"/>
  <c r="M260" i="28"/>
  <c r="N260" i="28"/>
  <c r="O260" i="28"/>
  <c r="K261" i="28"/>
  <c r="L261" i="28"/>
  <c r="M261" i="28"/>
  <c r="N261" i="28"/>
  <c r="O261" i="28"/>
  <c r="K264" i="28"/>
  <c r="L264" i="28"/>
  <c r="M264" i="28"/>
  <c r="N264" i="28"/>
  <c r="O264" i="28"/>
  <c r="L267" i="28"/>
  <c r="M267" i="28"/>
  <c r="N267" i="28"/>
  <c r="O267" i="28"/>
  <c r="L268" i="28"/>
  <c r="M268" i="28"/>
  <c r="N268" i="28"/>
  <c r="O268" i="28"/>
  <c r="K269" i="28"/>
  <c r="L269" i="28"/>
  <c r="M269" i="28"/>
  <c r="N269" i="28"/>
  <c r="O269" i="28"/>
  <c r="K270" i="28"/>
  <c r="L270" i="28"/>
  <c r="M270" i="28"/>
  <c r="N270" i="28"/>
  <c r="O270" i="28"/>
  <c r="K272" i="28"/>
  <c r="L272" i="28"/>
  <c r="M272" i="28"/>
  <c r="N272" i="28"/>
  <c r="O272" i="28"/>
  <c r="K274" i="28"/>
  <c r="L274" i="28"/>
  <c r="M274" i="28"/>
  <c r="N274" i="28"/>
  <c r="O274" i="28"/>
  <c r="L278" i="28"/>
  <c r="M278" i="28"/>
  <c r="N278" i="28"/>
  <c r="O278" i="28"/>
  <c r="K279" i="28"/>
  <c r="L279" i="28"/>
  <c r="M279" i="28"/>
  <c r="N279" i="28"/>
  <c r="O279" i="28"/>
  <c r="K280" i="28"/>
  <c r="L280" i="28"/>
  <c r="M280" i="28"/>
  <c r="N280" i="28"/>
  <c r="O280" i="28"/>
  <c r="K281" i="28"/>
  <c r="L281" i="28"/>
  <c r="M281" i="28"/>
  <c r="N281" i="28"/>
  <c r="O281" i="28"/>
  <c r="K283" i="28"/>
  <c r="L283" i="28"/>
  <c r="M283" i="28"/>
  <c r="N283" i="28"/>
  <c r="O283" i="28"/>
  <c r="K285" i="28"/>
  <c r="L285" i="28"/>
  <c r="M285" i="28"/>
  <c r="N285" i="28"/>
  <c r="O285" i="28"/>
  <c r="L289" i="28"/>
  <c r="M289" i="28"/>
  <c r="N289" i="28"/>
  <c r="O289" i="28"/>
  <c r="K290" i="28"/>
  <c r="L290" i="28"/>
  <c r="M290" i="28"/>
  <c r="N290" i="28"/>
  <c r="O290" i="28"/>
  <c r="K291" i="28"/>
  <c r="L291" i="28"/>
  <c r="M291" i="28"/>
  <c r="N291" i="28"/>
  <c r="O291" i="28"/>
  <c r="K293" i="28"/>
  <c r="L293" i="28"/>
  <c r="M293" i="28"/>
  <c r="N293" i="28"/>
  <c r="O293" i="28"/>
  <c r="K294" i="28"/>
  <c r="L294" i="28"/>
  <c r="M294" i="28"/>
  <c r="N294" i="28"/>
  <c r="O294" i="28"/>
  <c r="L301" i="28"/>
  <c r="M301" i="28"/>
  <c r="N301" i="28"/>
  <c r="O301" i="28"/>
  <c r="K302" i="28"/>
  <c r="L302" i="28"/>
  <c r="M302" i="28"/>
  <c r="N302" i="28"/>
  <c r="O302" i="28"/>
  <c r="K303" i="28"/>
  <c r="L303" i="28"/>
  <c r="M303" i="28"/>
  <c r="N303" i="28"/>
  <c r="O303" i="28"/>
  <c r="K305" i="28"/>
  <c r="L305" i="28"/>
  <c r="M305" i="28"/>
  <c r="N305" i="28"/>
  <c r="O305" i="28"/>
  <c r="K306" i="28"/>
  <c r="L306" i="28"/>
  <c r="M306" i="28"/>
  <c r="N306" i="28"/>
  <c r="O306" i="28"/>
  <c r="K310" i="28"/>
  <c r="L310" i="28"/>
  <c r="M310" i="28"/>
  <c r="N310" i="28"/>
  <c r="O310" i="28"/>
  <c r="K311" i="28"/>
  <c r="L311" i="28"/>
  <c r="M311" i="28"/>
  <c r="N311" i="28"/>
  <c r="O311" i="28"/>
  <c r="K312" i="28"/>
  <c r="L312" i="28"/>
  <c r="M312" i="28"/>
  <c r="N312" i="28"/>
  <c r="O312" i="28"/>
  <c r="K313" i="28"/>
  <c r="L313" i="28"/>
  <c r="M313" i="28"/>
  <c r="N313" i="28"/>
  <c r="O313" i="28"/>
  <c r="K314" i="28"/>
  <c r="L314" i="28"/>
  <c r="M314" i="28"/>
  <c r="N314" i="28"/>
  <c r="O314" i="28"/>
  <c r="K315" i="28"/>
  <c r="L315" i="28"/>
  <c r="M315" i="28"/>
  <c r="N315" i="28"/>
  <c r="O315" i="28"/>
  <c r="K316" i="28"/>
  <c r="L316" i="28"/>
  <c r="M316" i="28"/>
  <c r="N316" i="28"/>
  <c r="O316" i="28"/>
  <c r="K317" i="28"/>
  <c r="L317" i="28"/>
  <c r="M317" i="28"/>
  <c r="N317" i="28"/>
  <c r="O317" i="28"/>
  <c r="K326" i="28"/>
  <c r="L326" i="28"/>
  <c r="M326" i="28"/>
  <c r="N326" i="28"/>
  <c r="O326" i="28"/>
  <c r="K327" i="28"/>
  <c r="L327" i="28"/>
  <c r="M327" i="28"/>
  <c r="N327" i="28"/>
  <c r="O327" i="28"/>
  <c r="K328" i="28"/>
  <c r="L328" i="28"/>
  <c r="M328" i="28"/>
  <c r="N328" i="28"/>
  <c r="O328" i="28"/>
  <c r="K330" i="28"/>
  <c r="L330" i="28"/>
  <c r="M330" i="28"/>
  <c r="N330" i="28"/>
  <c r="O330" i="28"/>
  <c r="K332" i="28"/>
  <c r="L332" i="28"/>
  <c r="M332" i="28"/>
  <c r="N332" i="28"/>
  <c r="O332" i="28"/>
  <c r="K334" i="28"/>
  <c r="L334" i="28"/>
  <c r="M334" i="28"/>
  <c r="N334" i="28"/>
  <c r="O334" i="28"/>
  <c r="G338" i="28"/>
  <c r="H338" i="28"/>
  <c r="K338" i="28"/>
  <c r="G339" i="28"/>
  <c r="H339" i="28"/>
  <c r="L339" i="28"/>
  <c r="G340" i="28"/>
  <c r="H340" i="28"/>
  <c r="M340" i="28"/>
  <c r="G341" i="28"/>
  <c r="H341" i="28"/>
  <c r="N341" i="28"/>
  <c r="G342" i="28"/>
  <c r="H342" i="28"/>
  <c r="O342" i="28"/>
  <c r="E10" i="24"/>
  <c r="K10" i="24"/>
  <c r="L10" i="24"/>
  <c r="M10" i="24"/>
  <c r="N10" i="24"/>
  <c r="O10" i="24"/>
  <c r="E11" i="24"/>
  <c r="K11" i="24"/>
  <c r="L11" i="24"/>
  <c r="M11" i="24"/>
  <c r="N11" i="24"/>
  <c r="O11" i="24"/>
  <c r="E12" i="24"/>
  <c r="K12" i="24"/>
  <c r="L12" i="24"/>
  <c r="M12" i="24"/>
  <c r="N12" i="24"/>
  <c r="O12" i="24"/>
  <c r="E13" i="24"/>
  <c r="K13" i="24"/>
  <c r="L13" i="24"/>
  <c r="M13" i="24"/>
  <c r="N13" i="24"/>
  <c r="O13" i="24"/>
  <c r="K64" i="24"/>
  <c r="L64" i="24"/>
  <c r="M64" i="24"/>
  <c r="N64" i="24"/>
  <c r="O64" i="24"/>
  <c r="K71" i="24"/>
  <c r="L71" i="24"/>
  <c r="M71" i="24"/>
  <c r="N71" i="24"/>
  <c r="O71" i="24"/>
  <c r="K72" i="24"/>
  <c r="L72" i="24"/>
  <c r="M72" i="24"/>
  <c r="N72" i="24"/>
  <c r="O72" i="24"/>
  <c r="K75" i="24"/>
  <c r="L75" i="24"/>
  <c r="M75" i="24"/>
  <c r="N75" i="24"/>
  <c r="O75" i="24"/>
  <c r="K76" i="24"/>
  <c r="L76" i="24"/>
  <c r="M76" i="24"/>
  <c r="N76" i="24"/>
  <c r="O76" i="24"/>
  <c r="K79" i="24"/>
  <c r="L79" i="24"/>
  <c r="M79" i="24"/>
  <c r="N79" i="24"/>
  <c r="O79" i="24"/>
  <c r="K83" i="24"/>
  <c r="L83" i="24"/>
  <c r="M83" i="24"/>
  <c r="N83" i="24"/>
  <c r="O83" i="24"/>
  <c r="K84" i="24"/>
  <c r="L84" i="24"/>
  <c r="M84" i="24"/>
  <c r="N84" i="24"/>
  <c r="O84" i="24"/>
  <c r="K85" i="24"/>
  <c r="L85" i="24"/>
  <c r="M85" i="24"/>
  <c r="N85" i="24"/>
  <c r="O85" i="24"/>
  <c r="K86" i="24"/>
  <c r="L86" i="24"/>
  <c r="M86" i="24"/>
  <c r="N86" i="24"/>
  <c r="O86" i="24"/>
  <c r="K87" i="24"/>
  <c r="L87" i="24"/>
  <c r="M87" i="24"/>
  <c r="N87" i="24"/>
  <c r="O87" i="24"/>
  <c r="K88" i="24"/>
  <c r="L88" i="24"/>
  <c r="M88" i="24"/>
  <c r="N88" i="24"/>
  <c r="O88" i="24"/>
  <c r="K89" i="24"/>
  <c r="L89" i="24"/>
  <c r="M89" i="24"/>
  <c r="N89" i="24"/>
  <c r="O89" i="24"/>
  <c r="K90" i="24"/>
  <c r="L90" i="24"/>
  <c r="M90" i="24"/>
  <c r="N90" i="24"/>
  <c r="O90" i="24"/>
  <c r="K93" i="24"/>
  <c r="L93" i="24"/>
  <c r="M93" i="24"/>
  <c r="N93" i="24"/>
  <c r="O93" i="24"/>
  <c r="K94" i="24"/>
  <c r="L94" i="24"/>
  <c r="M94" i="24"/>
  <c r="N94" i="24"/>
  <c r="O94" i="24"/>
  <c r="K95" i="24"/>
  <c r="L95" i="24"/>
  <c r="M95" i="24"/>
  <c r="N95" i="24"/>
  <c r="O95" i="24"/>
  <c r="K97" i="24"/>
  <c r="L97" i="24"/>
  <c r="M97" i="24"/>
  <c r="N97" i="24"/>
  <c r="O97" i="24"/>
  <c r="K98" i="24"/>
  <c r="L98" i="24"/>
  <c r="M98" i="24"/>
  <c r="N98" i="24"/>
  <c r="O98" i="24"/>
  <c r="K109" i="24"/>
  <c r="L109" i="24"/>
  <c r="M109" i="24"/>
  <c r="N109" i="24"/>
  <c r="O109" i="24"/>
  <c r="K110" i="24"/>
  <c r="L110" i="24"/>
  <c r="M110" i="24"/>
  <c r="N110" i="24"/>
  <c r="O110" i="24"/>
  <c r="K111" i="24"/>
  <c r="L111" i="24"/>
  <c r="M111" i="24"/>
  <c r="N111" i="24"/>
  <c r="O111" i="24"/>
  <c r="K112" i="24"/>
  <c r="L112" i="24"/>
  <c r="M112" i="24"/>
  <c r="N112" i="24"/>
  <c r="O112" i="24"/>
  <c r="K113" i="24"/>
  <c r="L113" i="24"/>
  <c r="M113" i="24"/>
  <c r="N113" i="24"/>
  <c r="O113" i="24"/>
  <c r="K139" i="24"/>
  <c r="L139" i="24"/>
  <c r="M139" i="24"/>
  <c r="N139" i="24"/>
  <c r="O139" i="24"/>
  <c r="K143" i="24"/>
  <c r="L143" i="24"/>
  <c r="M143" i="24"/>
  <c r="N143" i="24"/>
  <c r="O143" i="24"/>
  <c r="K149" i="24"/>
  <c r="L149" i="24"/>
  <c r="M149" i="24"/>
  <c r="N149" i="24"/>
  <c r="O149" i="24"/>
  <c r="K159" i="24"/>
  <c r="L159" i="24"/>
  <c r="M159" i="24"/>
  <c r="N159" i="24"/>
  <c r="O159" i="24"/>
  <c r="K160" i="24"/>
  <c r="L160" i="24"/>
  <c r="M160" i="24"/>
  <c r="N160" i="24"/>
  <c r="O160" i="24"/>
  <c r="K161" i="24"/>
  <c r="L161" i="24"/>
  <c r="M161" i="24"/>
  <c r="N161" i="24"/>
  <c r="O161" i="24"/>
  <c r="K162" i="24"/>
  <c r="L162" i="24"/>
  <c r="M162" i="24"/>
  <c r="N162" i="24"/>
  <c r="O162" i="24"/>
  <c r="K163" i="24"/>
  <c r="L163" i="24"/>
  <c r="M163" i="24"/>
  <c r="N163" i="24"/>
  <c r="O163" i="24"/>
  <c r="K165" i="24"/>
  <c r="L165" i="24"/>
  <c r="M165" i="24"/>
  <c r="N165" i="24"/>
  <c r="O165" i="24"/>
  <c r="K166" i="24"/>
  <c r="L166" i="24"/>
  <c r="M166" i="24"/>
  <c r="N166" i="24"/>
  <c r="O166" i="24"/>
  <c r="K168" i="24"/>
  <c r="L168" i="24"/>
  <c r="M168" i="24"/>
  <c r="N168" i="24"/>
  <c r="O168" i="24"/>
  <c r="K186" i="24"/>
  <c r="L186" i="24"/>
  <c r="M186" i="24"/>
  <c r="N186" i="24"/>
  <c r="O186" i="24"/>
  <c r="K187" i="24"/>
  <c r="L187" i="24"/>
  <c r="M187" i="24"/>
  <c r="N187" i="24"/>
  <c r="O187" i="24"/>
  <c r="K193" i="24"/>
  <c r="L193" i="24"/>
  <c r="M193" i="24"/>
  <c r="N193" i="24"/>
  <c r="O193" i="24"/>
  <c r="K196" i="24"/>
  <c r="L196" i="24"/>
  <c r="M196" i="24"/>
  <c r="N196" i="24"/>
  <c r="O196" i="24"/>
  <c r="K209" i="24"/>
  <c r="L209" i="24"/>
  <c r="M209" i="24"/>
  <c r="N209" i="24"/>
  <c r="O209" i="24"/>
  <c r="L216" i="24"/>
  <c r="M216" i="24"/>
  <c r="N216" i="24"/>
  <c r="O216" i="24"/>
  <c r="K217" i="24"/>
  <c r="L217" i="24"/>
  <c r="M217" i="24"/>
  <c r="N217" i="24"/>
  <c r="O217" i="24"/>
  <c r="K218" i="24"/>
  <c r="L218" i="24"/>
  <c r="M218" i="24"/>
  <c r="N218" i="24"/>
  <c r="O218" i="24"/>
  <c r="K220" i="24"/>
  <c r="L220" i="24"/>
  <c r="M220" i="24"/>
  <c r="N220" i="24"/>
  <c r="O220" i="24"/>
  <c r="L227" i="24"/>
  <c r="M227" i="24"/>
  <c r="N227" i="24"/>
  <c r="O227" i="24"/>
  <c r="L228" i="24"/>
  <c r="M228" i="24"/>
  <c r="N228" i="24"/>
  <c r="O228" i="24"/>
  <c r="K231" i="24"/>
  <c r="L231" i="24"/>
  <c r="M231" i="24"/>
  <c r="N231" i="24"/>
  <c r="O231" i="24"/>
  <c r="L232" i="24"/>
  <c r="M232" i="24"/>
  <c r="N232" i="24"/>
  <c r="O232" i="24"/>
  <c r="K233" i="24"/>
  <c r="L233" i="24"/>
  <c r="M233" i="24"/>
  <c r="N233" i="24"/>
  <c r="O233" i="24"/>
  <c r="L235" i="24"/>
  <c r="M235" i="24"/>
  <c r="N235" i="24"/>
  <c r="O235" i="24"/>
  <c r="K237" i="24"/>
  <c r="L237" i="24"/>
  <c r="M237" i="24"/>
  <c r="N237" i="24"/>
  <c r="O237" i="24"/>
  <c r="K238" i="24"/>
  <c r="L238" i="24"/>
  <c r="M238" i="24"/>
  <c r="N238" i="24"/>
  <c r="O238" i="24"/>
  <c r="K241" i="24"/>
  <c r="L241" i="24"/>
  <c r="M241" i="24"/>
  <c r="N241" i="24"/>
  <c r="O241" i="24"/>
  <c r="K242" i="24"/>
  <c r="L242" i="24"/>
  <c r="M242" i="24"/>
  <c r="N242" i="24"/>
  <c r="O242" i="24"/>
  <c r="K243" i="24"/>
  <c r="L243" i="24"/>
  <c r="M243" i="24"/>
  <c r="N243" i="24"/>
  <c r="O243" i="24"/>
  <c r="K244" i="24"/>
  <c r="L244" i="24"/>
  <c r="M244" i="24"/>
  <c r="N244" i="24"/>
  <c r="O244" i="24"/>
  <c r="K245" i="24"/>
  <c r="L245" i="24"/>
  <c r="M245" i="24"/>
  <c r="N245" i="24"/>
  <c r="O245" i="24"/>
  <c r="L254" i="24"/>
  <c r="M254" i="24"/>
  <c r="N254" i="24"/>
  <c r="O254" i="24"/>
  <c r="K255" i="24"/>
  <c r="L255" i="24"/>
  <c r="M255" i="24"/>
  <c r="N255" i="24"/>
  <c r="O255" i="24"/>
  <c r="K256" i="24"/>
  <c r="L256" i="24"/>
  <c r="M256" i="24"/>
  <c r="N256" i="24"/>
  <c r="O256" i="24"/>
  <c r="K258" i="24"/>
  <c r="L258" i="24"/>
  <c r="M258" i="24"/>
  <c r="N258" i="24"/>
  <c r="O258" i="24"/>
  <c r="K260" i="24"/>
  <c r="L260" i="24"/>
  <c r="M260" i="24"/>
  <c r="N260" i="24"/>
  <c r="O260" i="24"/>
  <c r="K261" i="24"/>
  <c r="L261" i="24"/>
  <c r="M261" i="24"/>
  <c r="N261" i="24"/>
  <c r="O261" i="24"/>
  <c r="K264" i="24"/>
  <c r="L264" i="24"/>
  <c r="M264" i="24"/>
  <c r="N264" i="24"/>
  <c r="O264" i="24"/>
  <c r="L267" i="24"/>
  <c r="M267" i="24"/>
  <c r="N267" i="24"/>
  <c r="O267" i="24"/>
  <c r="L268" i="24"/>
  <c r="M268" i="24"/>
  <c r="N268" i="24"/>
  <c r="O268" i="24"/>
  <c r="K269" i="24"/>
  <c r="L269" i="24"/>
  <c r="M269" i="24"/>
  <c r="N269" i="24"/>
  <c r="O269" i="24"/>
  <c r="K270" i="24"/>
  <c r="L270" i="24"/>
  <c r="M270" i="24"/>
  <c r="N270" i="24"/>
  <c r="O270" i="24"/>
  <c r="K272" i="24"/>
  <c r="L272" i="24"/>
  <c r="M272" i="24"/>
  <c r="N272" i="24"/>
  <c r="O272" i="24"/>
  <c r="K274" i="24"/>
  <c r="L274" i="24"/>
  <c r="M274" i="24"/>
  <c r="N274" i="24"/>
  <c r="O274" i="24"/>
  <c r="L278" i="24"/>
  <c r="M278" i="24"/>
  <c r="N278" i="24"/>
  <c r="O278" i="24"/>
  <c r="K279" i="24"/>
  <c r="L279" i="24"/>
  <c r="M279" i="24"/>
  <c r="N279" i="24"/>
  <c r="O279" i="24"/>
  <c r="K280" i="24"/>
  <c r="L280" i="24"/>
  <c r="M280" i="24"/>
  <c r="N280" i="24"/>
  <c r="O280" i="24"/>
  <c r="K281" i="24"/>
  <c r="L281" i="24"/>
  <c r="M281" i="24"/>
  <c r="N281" i="24"/>
  <c r="O281" i="24"/>
  <c r="K283" i="24"/>
  <c r="L283" i="24"/>
  <c r="M283" i="24"/>
  <c r="N283" i="24"/>
  <c r="O283" i="24"/>
  <c r="K285" i="24"/>
  <c r="L285" i="24"/>
  <c r="M285" i="24"/>
  <c r="N285" i="24"/>
  <c r="O285" i="24"/>
  <c r="L289" i="24"/>
  <c r="M289" i="24"/>
  <c r="N289" i="24"/>
  <c r="O289" i="24"/>
  <c r="K290" i="24"/>
  <c r="L290" i="24"/>
  <c r="M290" i="24"/>
  <c r="N290" i="24"/>
  <c r="O290" i="24"/>
  <c r="K291" i="24"/>
  <c r="L291" i="24"/>
  <c r="M291" i="24"/>
  <c r="N291" i="24"/>
  <c r="O291" i="24"/>
  <c r="K293" i="24"/>
  <c r="L293" i="24"/>
  <c r="M293" i="24"/>
  <c r="N293" i="24"/>
  <c r="O293" i="24"/>
  <c r="K294" i="24"/>
  <c r="L294" i="24"/>
  <c r="M294" i="24"/>
  <c r="N294" i="24"/>
  <c r="O294" i="24"/>
  <c r="L301" i="24"/>
  <c r="M301" i="24"/>
  <c r="N301" i="24"/>
  <c r="O301" i="24"/>
  <c r="K302" i="24"/>
  <c r="L302" i="24"/>
  <c r="M302" i="24"/>
  <c r="N302" i="24"/>
  <c r="O302" i="24"/>
  <c r="K303" i="24"/>
  <c r="L303" i="24"/>
  <c r="M303" i="24"/>
  <c r="N303" i="24"/>
  <c r="O303" i="24"/>
  <c r="K305" i="24"/>
  <c r="L305" i="24"/>
  <c r="M305" i="24"/>
  <c r="N305" i="24"/>
  <c r="O305" i="24"/>
  <c r="K306" i="24"/>
  <c r="L306" i="24"/>
  <c r="M306" i="24"/>
  <c r="N306" i="24"/>
  <c r="O306" i="24"/>
  <c r="K310" i="24"/>
  <c r="L310" i="24"/>
  <c r="M310" i="24"/>
  <c r="N310" i="24"/>
  <c r="O310" i="24"/>
  <c r="K311" i="24"/>
  <c r="L311" i="24"/>
  <c r="M311" i="24"/>
  <c r="N311" i="24"/>
  <c r="O311" i="24"/>
  <c r="K312" i="24"/>
  <c r="L312" i="24"/>
  <c r="M312" i="24"/>
  <c r="N312" i="24"/>
  <c r="O312" i="24"/>
  <c r="K313" i="24"/>
  <c r="L313" i="24"/>
  <c r="M313" i="24"/>
  <c r="N313" i="24"/>
  <c r="O313" i="24"/>
  <c r="K314" i="24"/>
  <c r="L314" i="24"/>
  <c r="M314" i="24"/>
  <c r="N314" i="24"/>
  <c r="O314" i="24"/>
  <c r="K315" i="24"/>
  <c r="L315" i="24"/>
  <c r="M315" i="24"/>
  <c r="N315" i="24"/>
  <c r="O315" i="24"/>
  <c r="K316" i="24"/>
  <c r="L316" i="24"/>
  <c r="M316" i="24"/>
  <c r="N316" i="24"/>
  <c r="O316" i="24"/>
  <c r="K317" i="24"/>
  <c r="L317" i="24"/>
  <c r="M317" i="24"/>
  <c r="N317" i="24"/>
  <c r="O317" i="24"/>
  <c r="K326" i="24"/>
  <c r="L326" i="24"/>
  <c r="M326" i="24"/>
  <c r="N326" i="24"/>
  <c r="O326" i="24"/>
  <c r="K327" i="24"/>
  <c r="L327" i="24"/>
  <c r="M327" i="24"/>
  <c r="N327" i="24"/>
  <c r="O327" i="24"/>
  <c r="K328" i="24"/>
  <c r="L328" i="24"/>
  <c r="M328" i="24"/>
  <c r="N328" i="24"/>
  <c r="O328" i="24"/>
  <c r="K330" i="24"/>
  <c r="L330" i="24"/>
  <c r="M330" i="24"/>
  <c r="N330" i="24"/>
  <c r="O330" i="24"/>
  <c r="K332" i="24"/>
  <c r="L332" i="24"/>
  <c r="M332" i="24"/>
  <c r="N332" i="24"/>
  <c r="O332" i="24"/>
  <c r="K334" i="24"/>
  <c r="L334" i="24"/>
  <c r="M334" i="24"/>
  <c r="N334" i="24"/>
  <c r="O334" i="24"/>
  <c r="G338" i="24"/>
  <c r="H338" i="24"/>
  <c r="K338" i="24"/>
  <c r="G339" i="24"/>
  <c r="H339" i="24"/>
  <c r="L339" i="24"/>
  <c r="G340" i="24"/>
  <c r="H340" i="24"/>
  <c r="M340" i="24"/>
  <c r="G341" i="24"/>
  <c r="H341" i="24"/>
  <c r="N341" i="24"/>
  <c r="G342" i="24"/>
  <c r="H342" i="24"/>
  <c r="O342" i="24"/>
  <c r="E10" i="29"/>
  <c r="K10" i="29"/>
  <c r="L10" i="29"/>
  <c r="M10" i="29"/>
  <c r="N10" i="29"/>
  <c r="O10" i="29"/>
  <c r="E11" i="29"/>
  <c r="K11" i="29"/>
  <c r="L11" i="29"/>
  <c r="M11" i="29"/>
  <c r="N11" i="29"/>
  <c r="O11" i="29"/>
  <c r="E12" i="29"/>
  <c r="K12" i="29"/>
  <c r="L12" i="29"/>
  <c r="M12" i="29"/>
  <c r="N12" i="29"/>
  <c r="O12" i="29"/>
  <c r="E13" i="29"/>
  <c r="K13" i="29"/>
  <c r="L13" i="29"/>
  <c r="M13" i="29"/>
  <c r="N13" i="29"/>
  <c r="O13" i="29"/>
  <c r="K67" i="29"/>
  <c r="L67" i="29"/>
  <c r="M67" i="29"/>
  <c r="N67" i="29"/>
  <c r="O67" i="29"/>
  <c r="K74" i="29"/>
  <c r="L74" i="29"/>
  <c r="M74" i="29"/>
  <c r="N74" i="29"/>
  <c r="O74" i="29"/>
  <c r="K75" i="29"/>
  <c r="L75" i="29"/>
  <c r="M75" i="29"/>
  <c r="N75" i="29"/>
  <c r="O75" i="29"/>
  <c r="K78" i="29"/>
  <c r="L78" i="29"/>
  <c r="M78" i="29"/>
  <c r="N78" i="29"/>
  <c r="O78" i="29"/>
  <c r="K79" i="29"/>
  <c r="L79" i="29"/>
  <c r="M79" i="29"/>
  <c r="N79" i="29"/>
  <c r="O79" i="29"/>
  <c r="K82" i="29"/>
  <c r="L82" i="29"/>
  <c r="M82" i="29"/>
  <c r="N82" i="29"/>
  <c r="O82" i="29"/>
  <c r="K86" i="29"/>
  <c r="L86" i="29"/>
  <c r="M86" i="29"/>
  <c r="N86" i="29"/>
  <c r="O86" i="29"/>
  <c r="K87" i="29"/>
  <c r="L87" i="29"/>
  <c r="M87" i="29"/>
  <c r="N87" i="29"/>
  <c r="O87" i="29"/>
  <c r="K88" i="29"/>
  <c r="L88" i="29"/>
  <c r="M88" i="29"/>
  <c r="N88" i="29"/>
  <c r="O88" i="29"/>
  <c r="K89" i="29"/>
  <c r="L89" i="29"/>
  <c r="M89" i="29"/>
  <c r="N89" i="29"/>
  <c r="O89" i="29"/>
  <c r="K90" i="29"/>
  <c r="L90" i="29"/>
  <c r="M90" i="29"/>
  <c r="N90" i="29"/>
  <c r="O90" i="29"/>
  <c r="K91" i="29"/>
  <c r="L91" i="29"/>
  <c r="M91" i="29"/>
  <c r="N91" i="29"/>
  <c r="O91" i="29"/>
  <c r="K92" i="29"/>
  <c r="L92" i="29"/>
  <c r="M92" i="29"/>
  <c r="N92" i="29"/>
  <c r="O92" i="29"/>
  <c r="K93" i="29"/>
  <c r="L93" i="29"/>
  <c r="M93" i="29"/>
  <c r="N93" i="29"/>
  <c r="O93" i="29"/>
  <c r="K96" i="29"/>
  <c r="L96" i="29"/>
  <c r="M96" i="29"/>
  <c r="N96" i="29"/>
  <c r="O96" i="29"/>
  <c r="K97" i="29"/>
  <c r="L97" i="29"/>
  <c r="M97" i="29"/>
  <c r="N97" i="29"/>
  <c r="O97" i="29"/>
  <c r="K98" i="29"/>
  <c r="L98" i="29"/>
  <c r="M98" i="29"/>
  <c r="N98" i="29"/>
  <c r="O98" i="29"/>
  <c r="K100" i="29"/>
  <c r="L100" i="29"/>
  <c r="M100" i="29"/>
  <c r="N100" i="29"/>
  <c r="O100" i="29"/>
  <c r="K101" i="29"/>
  <c r="L101" i="29"/>
  <c r="M101" i="29"/>
  <c r="N101" i="29"/>
  <c r="O101" i="29"/>
  <c r="K112" i="29"/>
  <c r="L112" i="29"/>
  <c r="M112" i="29"/>
  <c r="N112" i="29"/>
  <c r="O112" i="29"/>
  <c r="K113" i="29"/>
  <c r="L113" i="29"/>
  <c r="M113" i="29"/>
  <c r="N113" i="29"/>
  <c r="O113" i="29"/>
  <c r="K114" i="29"/>
  <c r="L114" i="29"/>
  <c r="M114" i="29"/>
  <c r="N114" i="29"/>
  <c r="O114" i="29"/>
  <c r="K115" i="29"/>
  <c r="L115" i="29"/>
  <c r="M115" i="29"/>
  <c r="N115" i="29"/>
  <c r="O115" i="29"/>
  <c r="K116" i="29"/>
  <c r="L116" i="29"/>
  <c r="M116" i="29"/>
  <c r="N116" i="29"/>
  <c r="O116" i="29"/>
  <c r="K142" i="29"/>
  <c r="L142" i="29"/>
  <c r="M142" i="29"/>
  <c r="N142" i="29"/>
  <c r="O142" i="29"/>
  <c r="K146" i="29"/>
  <c r="L146" i="29"/>
  <c r="M146" i="29"/>
  <c r="N146" i="29"/>
  <c r="O146" i="29"/>
  <c r="K152" i="29"/>
  <c r="L152" i="29"/>
  <c r="M152" i="29"/>
  <c r="N152" i="29"/>
  <c r="O152" i="29"/>
  <c r="K162" i="29"/>
  <c r="L162" i="29"/>
  <c r="M162" i="29"/>
  <c r="N162" i="29"/>
  <c r="O162" i="29"/>
  <c r="K163" i="29"/>
  <c r="L163" i="29"/>
  <c r="M163" i="29"/>
  <c r="N163" i="29"/>
  <c r="O163" i="29"/>
  <c r="K164" i="29"/>
  <c r="L164" i="29"/>
  <c r="M164" i="29"/>
  <c r="N164" i="29"/>
  <c r="O164" i="29"/>
  <c r="K165" i="29"/>
  <c r="L165" i="29"/>
  <c r="M165" i="29"/>
  <c r="N165" i="29"/>
  <c r="O165" i="29"/>
  <c r="K166" i="29"/>
  <c r="L166" i="29"/>
  <c r="M166" i="29"/>
  <c r="N166" i="29"/>
  <c r="O166" i="29"/>
  <c r="K168" i="29"/>
  <c r="L168" i="29"/>
  <c r="M168" i="29"/>
  <c r="N168" i="29"/>
  <c r="O168" i="29"/>
  <c r="K169" i="29"/>
  <c r="L169" i="29"/>
  <c r="M169" i="29"/>
  <c r="N169" i="29"/>
  <c r="O169" i="29"/>
  <c r="K171" i="29"/>
  <c r="L171" i="29"/>
  <c r="M171" i="29"/>
  <c r="N171" i="29"/>
  <c r="O171" i="29"/>
  <c r="K189" i="29"/>
  <c r="L189" i="29"/>
  <c r="M189" i="29"/>
  <c r="N189" i="29"/>
  <c r="O189" i="29"/>
  <c r="K190" i="29"/>
  <c r="L190" i="29"/>
  <c r="M190" i="29"/>
  <c r="N190" i="29"/>
  <c r="O190" i="29"/>
  <c r="K196" i="29"/>
  <c r="L196" i="29"/>
  <c r="M196" i="29"/>
  <c r="N196" i="29"/>
  <c r="O196" i="29"/>
  <c r="K199" i="29"/>
  <c r="L199" i="29"/>
  <c r="M199" i="29"/>
  <c r="N199" i="29"/>
  <c r="O199" i="29"/>
  <c r="K212" i="29"/>
  <c r="L212" i="29"/>
  <c r="M212" i="29"/>
  <c r="N212" i="29"/>
  <c r="O212" i="29"/>
  <c r="L219" i="29"/>
  <c r="M219" i="29"/>
  <c r="N219" i="29"/>
  <c r="O219" i="29"/>
  <c r="K220" i="29"/>
  <c r="L220" i="29"/>
  <c r="M220" i="29"/>
  <c r="N220" i="29"/>
  <c r="O220" i="29"/>
  <c r="K221" i="29"/>
  <c r="L221" i="29"/>
  <c r="M221" i="29"/>
  <c r="N221" i="29"/>
  <c r="O221" i="29"/>
  <c r="K223" i="29"/>
  <c r="L223" i="29"/>
  <c r="M223" i="29"/>
  <c r="N223" i="29"/>
  <c r="O223" i="29"/>
  <c r="L230" i="29"/>
  <c r="M230" i="29"/>
  <c r="N230" i="29"/>
  <c r="O230" i="29"/>
  <c r="L231" i="29"/>
  <c r="M231" i="29"/>
  <c r="N231" i="29"/>
  <c r="O231" i="29"/>
  <c r="K234" i="29"/>
  <c r="L234" i="29"/>
  <c r="M234" i="29"/>
  <c r="N234" i="29"/>
  <c r="O234" i="29"/>
  <c r="L235" i="29"/>
  <c r="M235" i="29"/>
  <c r="N235" i="29"/>
  <c r="O235" i="29"/>
  <c r="K236" i="29"/>
  <c r="L236" i="29"/>
  <c r="M236" i="29"/>
  <c r="N236" i="29"/>
  <c r="O236" i="29"/>
  <c r="L238" i="29"/>
  <c r="M238" i="29"/>
  <c r="N238" i="29"/>
  <c r="O238" i="29"/>
  <c r="K240" i="29"/>
  <c r="L240" i="29"/>
  <c r="M240" i="29"/>
  <c r="N240" i="29"/>
  <c r="O240" i="29"/>
  <c r="K241" i="29"/>
  <c r="L241" i="29"/>
  <c r="M241" i="29"/>
  <c r="N241" i="29"/>
  <c r="O241" i="29"/>
  <c r="K244" i="29"/>
  <c r="L244" i="29"/>
  <c r="M244" i="29"/>
  <c r="N244" i="29"/>
  <c r="O244" i="29"/>
  <c r="K245" i="29"/>
  <c r="L245" i="29"/>
  <c r="M245" i="29"/>
  <c r="N245" i="29"/>
  <c r="O245" i="29"/>
  <c r="K246" i="29"/>
  <c r="L246" i="29"/>
  <c r="M246" i="29"/>
  <c r="N246" i="29"/>
  <c r="O246" i="29"/>
  <c r="K247" i="29"/>
  <c r="L247" i="29"/>
  <c r="M247" i="29"/>
  <c r="N247" i="29"/>
  <c r="O247" i="29"/>
  <c r="K248" i="29"/>
  <c r="L248" i="29"/>
  <c r="M248" i="29"/>
  <c r="N248" i="29"/>
  <c r="O248" i="29"/>
  <c r="L257" i="29"/>
  <c r="M257" i="29"/>
  <c r="N257" i="29"/>
  <c r="O257" i="29"/>
  <c r="K258" i="29"/>
  <c r="L258" i="29"/>
  <c r="M258" i="29"/>
  <c r="N258" i="29"/>
  <c r="O258" i="29"/>
  <c r="K259" i="29"/>
  <c r="L259" i="29"/>
  <c r="M259" i="29"/>
  <c r="N259" i="29"/>
  <c r="O259" i="29"/>
  <c r="K261" i="29"/>
  <c r="L261" i="29"/>
  <c r="M261" i="29"/>
  <c r="N261" i="29"/>
  <c r="O261" i="29"/>
  <c r="K263" i="29"/>
  <c r="L263" i="29"/>
  <c r="M263" i="29"/>
  <c r="N263" i="29"/>
  <c r="O263" i="29"/>
  <c r="K264" i="29"/>
  <c r="L264" i="29"/>
  <c r="M264" i="29"/>
  <c r="N264" i="29"/>
  <c r="O264" i="29"/>
  <c r="K267" i="29"/>
  <c r="L267" i="29"/>
  <c r="M267" i="29"/>
  <c r="N267" i="29"/>
  <c r="O267" i="29"/>
  <c r="L270" i="29"/>
  <c r="M270" i="29"/>
  <c r="N270" i="29"/>
  <c r="O270" i="29"/>
  <c r="L271" i="29"/>
  <c r="M271" i="29"/>
  <c r="N271" i="29"/>
  <c r="O271" i="29"/>
  <c r="K272" i="29"/>
  <c r="L272" i="29"/>
  <c r="M272" i="29"/>
  <c r="N272" i="29"/>
  <c r="O272" i="29"/>
  <c r="K273" i="29"/>
  <c r="L273" i="29"/>
  <c r="M273" i="29"/>
  <c r="N273" i="29"/>
  <c r="O273" i="29"/>
  <c r="K275" i="29"/>
  <c r="L275" i="29"/>
  <c r="M275" i="29"/>
  <c r="N275" i="29"/>
  <c r="O275" i="29"/>
  <c r="K277" i="29"/>
  <c r="L277" i="29"/>
  <c r="M277" i="29"/>
  <c r="N277" i="29"/>
  <c r="O277" i="29"/>
  <c r="L281" i="29"/>
  <c r="M281" i="29"/>
  <c r="N281" i="29"/>
  <c r="O281" i="29"/>
  <c r="K282" i="29"/>
  <c r="L282" i="29"/>
  <c r="M282" i="29"/>
  <c r="N282" i="29"/>
  <c r="O282" i="29"/>
  <c r="K283" i="29"/>
  <c r="L283" i="29"/>
  <c r="M283" i="29"/>
  <c r="N283" i="29"/>
  <c r="O283" i="29"/>
  <c r="K284" i="29"/>
  <c r="L284" i="29"/>
  <c r="M284" i="29"/>
  <c r="N284" i="29"/>
  <c r="O284" i="29"/>
  <c r="K286" i="29"/>
  <c r="L286" i="29"/>
  <c r="M286" i="29"/>
  <c r="N286" i="29"/>
  <c r="O286" i="29"/>
  <c r="K288" i="29"/>
  <c r="L288" i="29"/>
  <c r="M288" i="29"/>
  <c r="N288" i="29"/>
  <c r="O288" i="29"/>
  <c r="L292" i="29"/>
  <c r="M292" i="29"/>
  <c r="N292" i="29"/>
  <c r="O292" i="29"/>
  <c r="K293" i="29"/>
  <c r="L293" i="29"/>
  <c r="M293" i="29"/>
  <c r="N293" i="29"/>
  <c r="O293" i="29"/>
  <c r="K294" i="29"/>
  <c r="L294" i="29"/>
  <c r="M294" i="29"/>
  <c r="N294" i="29"/>
  <c r="O294" i="29"/>
  <c r="K296" i="29"/>
  <c r="L296" i="29"/>
  <c r="M296" i="29"/>
  <c r="N296" i="29"/>
  <c r="O296" i="29"/>
  <c r="K297" i="29"/>
  <c r="L297" i="29"/>
  <c r="M297" i="29"/>
  <c r="N297" i="29"/>
  <c r="O297" i="29"/>
  <c r="L304" i="29"/>
  <c r="M304" i="29"/>
  <c r="N304" i="29"/>
  <c r="O304" i="29"/>
  <c r="K305" i="29"/>
  <c r="L305" i="29"/>
  <c r="M305" i="29"/>
  <c r="N305" i="29"/>
  <c r="O305" i="29"/>
  <c r="K306" i="29"/>
  <c r="L306" i="29"/>
  <c r="M306" i="29"/>
  <c r="N306" i="29"/>
  <c r="O306" i="29"/>
  <c r="K308" i="29"/>
  <c r="L308" i="29"/>
  <c r="M308" i="29"/>
  <c r="N308" i="29"/>
  <c r="O308" i="29"/>
  <c r="K309" i="29"/>
  <c r="L309" i="29"/>
  <c r="M309" i="29"/>
  <c r="N309" i="29"/>
  <c r="O309" i="29"/>
  <c r="K313" i="29"/>
  <c r="L313" i="29"/>
  <c r="M313" i="29"/>
  <c r="N313" i="29"/>
  <c r="O313" i="29"/>
  <c r="K314" i="29"/>
  <c r="L314" i="29"/>
  <c r="M314" i="29"/>
  <c r="N314" i="29"/>
  <c r="O314" i="29"/>
  <c r="K315" i="29"/>
  <c r="L315" i="29"/>
  <c r="M315" i="29"/>
  <c r="N315" i="29"/>
  <c r="O315" i="29"/>
  <c r="K316" i="29"/>
  <c r="L316" i="29"/>
  <c r="M316" i="29"/>
  <c r="N316" i="29"/>
  <c r="O316" i="29"/>
  <c r="K317" i="29"/>
  <c r="L317" i="29"/>
  <c r="M317" i="29"/>
  <c r="N317" i="29"/>
  <c r="O317" i="29"/>
  <c r="K318" i="29"/>
  <c r="L318" i="29"/>
  <c r="M318" i="29"/>
  <c r="N318" i="29"/>
  <c r="O318" i="29"/>
  <c r="K319" i="29"/>
  <c r="L319" i="29"/>
  <c r="M319" i="29"/>
  <c r="N319" i="29"/>
  <c r="O319" i="29"/>
  <c r="K320" i="29"/>
  <c r="L320" i="29"/>
  <c r="M320" i="29"/>
  <c r="N320" i="29"/>
  <c r="O320" i="29"/>
  <c r="K329" i="29"/>
  <c r="L329" i="29"/>
  <c r="M329" i="29"/>
  <c r="N329" i="29"/>
  <c r="O329" i="29"/>
  <c r="K330" i="29"/>
  <c r="L330" i="29"/>
  <c r="M330" i="29"/>
  <c r="N330" i="29"/>
  <c r="O330" i="29"/>
  <c r="K331" i="29"/>
  <c r="L331" i="29"/>
  <c r="M331" i="29"/>
  <c r="N331" i="29"/>
  <c r="O331" i="29"/>
  <c r="K333" i="29"/>
  <c r="L333" i="29"/>
  <c r="M333" i="29"/>
  <c r="N333" i="29"/>
  <c r="O333" i="29"/>
  <c r="K335" i="29"/>
  <c r="L335" i="29"/>
  <c r="M335" i="29"/>
  <c r="N335" i="29"/>
  <c r="O335" i="29"/>
  <c r="K337" i="29"/>
  <c r="L337" i="29"/>
  <c r="M337" i="29"/>
  <c r="N337" i="29"/>
  <c r="O337" i="29"/>
  <c r="G341" i="29"/>
  <c r="H341" i="29"/>
  <c r="K341" i="29"/>
  <c r="G342" i="29"/>
  <c r="H342" i="29"/>
  <c r="L342" i="29"/>
  <c r="G343" i="29"/>
  <c r="H343" i="29"/>
  <c r="M343" i="29"/>
  <c r="G344" i="29"/>
  <c r="H344" i="29"/>
  <c r="N344" i="29"/>
  <c r="G345" i="29"/>
  <c r="H345" i="29"/>
  <c r="O345" i="29"/>
  <c r="E10" i="26"/>
  <c r="K10" i="26"/>
  <c r="L10" i="26"/>
  <c r="M10" i="26"/>
  <c r="N10" i="26"/>
  <c r="O10" i="26"/>
  <c r="E11" i="26"/>
  <c r="K11" i="26"/>
  <c r="L11" i="26"/>
  <c r="M11" i="26"/>
  <c r="N11" i="26"/>
  <c r="O11" i="26"/>
  <c r="E12" i="26"/>
  <c r="K12" i="26"/>
  <c r="L12" i="26"/>
  <c r="M12" i="26"/>
  <c r="N12" i="26"/>
  <c r="O12" i="26"/>
  <c r="E13" i="26"/>
  <c r="K13" i="26"/>
  <c r="L13" i="26"/>
  <c r="M13" i="26"/>
  <c r="N13" i="26"/>
  <c r="O13" i="26"/>
  <c r="K67" i="26"/>
  <c r="L67" i="26"/>
  <c r="M67" i="26"/>
  <c r="N67" i="26"/>
  <c r="O67" i="26"/>
  <c r="K74" i="26"/>
  <c r="L74" i="26"/>
  <c r="M74" i="26"/>
  <c r="N74" i="26"/>
  <c r="O74" i="26"/>
  <c r="K75" i="26"/>
  <c r="L75" i="26"/>
  <c r="M75" i="26"/>
  <c r="N75" i="26"/>
  <c r="O75" i="26"/>
  <c r="K78" i="26"/>
  <c r="L78" i="26"/>
  <c r="M78" i="26"/>
  <c r="N78" i="26"/>
  <c r="O78" i="26"/>
  <c r="K79" i="26"/>
  <c r="L79" i="26"/>
  <c r="M79" i="26"/>
  <c r="N79" i="26"/>
  <c r="O79" i="26"/>
  <c r="K82" i="26"/>
  <c r="L82" i="26"/>
  <c r="M82" i="26"/>
  <c r="N82" i="26"/>
  <c r="O82" i="26"/>
  <c r="K86" i="26"/>
  <c r="L86" i="26"/>
  <c r="M86" i="26"/>
  <c r="N86" i="26"/>
  <c r="O86" i="26"/>
  <c r="K87" i="26"/>
  <c r="L87" i="26"/>
  <c r="M87" i="26"/>
  <c r="N87" i="26"/>
  <c r="O87" i="26"/>
  <c r="K88" i="26"/>
  <c r="L88" i="26"/>
  <c r="M88" i="26"/>
  <c r="N88" i="26"/>
  <c r="O88" i="26"/>
  <c r="K89" i="26"/>
  <c r="L89" i="26"/>
  <c r="M89" i="26"/>
  <c r="N89" i="26"/>
  <c r="O89" i="26"/>
  <c r="K90" i="26"/>
  <c r="L90" i="26"/>
  <c r="M90" i="26"/>
  <c r="N90" i="26"/>
  <c r="O90" i="26"/>
  <c r="K91" i="26"/>
  <c r="L91" i="26"/>
  <c r="M91" i="26"/>
  <c r="N91" i="26"/>
  <c r="O91" i="26"/>
  <c r="K92" i="26"/>
  <c r="L92" i="26"/>
  <c r="M92" i="26"/>
  <c r="N92" i="26"/>
  <c r="O92" i="26"/>
  <c r="K93" i="26"/>
  <c r="L93" i="26"/>
  <c r="M93" i="26"/>
  <c r="N93" i="26"/>
  <c r="O93" i="26"/>
  <c r="K96" i="26"/>
  <c r="L96" i="26"/>
  <c r="M96" i="26"/>
  <c r="N96" i="26"/>
  <c r="O96" i="26"/>
  <c r="K97" i="26"/>
  <c r="L97" i="26"/>
  <c r="M97" i="26"/>
  <c r="N97" i="26"/>
  <c r="O97" i="26"/>
  <c r="K98" i="26"/>
  <c r="L98" i="26"/>
  <c r="M98" i="26"/>
  <c r="N98" i="26"/>
  <c r="O98" i="26"/>
  <c r="K100" i="26"/>
  <c r="L100" i="26"/>
  <c r="M100" i="26"/>
  <c r="N100" i="26"/>
  <c r="O100" i="26"/>
  <c r="K101" i="26"/>
  <c r="L101" i="26"/>
  <c r="M101" i="26"/>
  <c r="N101" i="26"/>
  <c r="O101" i="26"/>
  <c r="K112" i="26"/>
  <c r="L112" i="26"/>
  <c r="M112" i="26"/>
  <c r="N112" i="26"/>
  <c r="O112" i="26"/>
  <c r="K113" i="26"/>
  <c r="L113" i="26"/>
  <c r="M113" i="26"/>
  <c r="N113" i="26"/>
  <c r="O113" i="26"/>
  <c r="K114" i="26"/>
  <c r="L114" i="26"/>
  <c r="M114" i="26"/>
  <c r="N114" i="26"/>
  <c r="O114" i="26"/>
  <c r="K115" i="26"/>
  <c r="L115" i="26"/>
  <c r="M115" i="26"/>
  <c r="N115" i="26"/>
  <c r="O115" i="26"/>
  <c r="K116" i="26"/>
  <c r="L116" i="26"/>
  <c r="M116" i="26"/>
  <c r="N116" i="26"/>
  <c r="O116" i="26"/>
  <c r="K142" i="26"/>
  <c r="L142" i="26"/>
  <c r="M142" i="26"/>
  <c r="N142" i="26"/>
  <c r="O142" i="26"/>
  <c r="K146" i="26"/>
  <c r="L146" i="26"/>
  <c r="M146" i="26"/>
  <c r="N146" i="26"/>
  <c r="O146" i="26"/>
  <c r="K152" i="26"/>
  <c r="L152" i="26"/>
  <c r="M152" i="26"/>
  <c r="N152" i="26"/>
  <c r="O152" i="26"/>
  <c r="K162" i="26"/>
  <c r="L162" i="26"/>
  <c r="M162" i="26"/>
  <c r="N162" i="26"/>
  <c r="O162" i="26"/>
  <c r="K163" i="26"/>
  <c r="L163" i="26"/>
  <c r="M163" i="26"/>
  <c r="N163" i="26"/>
  <c r="O163" i="26"/>
  <c r="K164" i="26"/>
  <c r="L164" i="26"/>
  <c r="M164" i="26"/>
  <c r="N164" i="26"/>
  <c r="O164" i="26"/>
  <c r="K165" i="26"/>
  <c r="L165" i="26"/>
  <c r="M165" i="26"/>
  <c r="N165" i="26"/>
  <c r="O165" i="26"/>
  <c r="K166" i="26"/>
  <c r="L166" i="26"/>
  <c r="M166" i="26"/>
  <c r="N166" i="26"/>
  <c r="O166" i="26"/>
  <c r="K168" i="26"/>
  <c r="L168" i="26"/>
  <c r="M168" i="26"/>
  <c r="N168" i="26"/>
  <c r="O168" i="26"/>
  <c r="K169" i="26"/>
  <c r="L169" i="26"/>
  <c r="M169" i="26"/>
  <c r="N169" i="26"/>
  <c r="O169" i="26"/>
  <c r="K171" i="26"/>
  <c r="L171" i="26"/>
  <c r="M171" i="26"/>
  <c r="N171" i="26"/>
  <c r="O171" i="26"/>
  <c r="K189" i="26"/>
  <c r="L189" i="26"/>
  <c r="M189" i="26"/>
  <c r="N189" i="26"/>
  <c r="O189" i="26"/>
  <c r="K190" i="26"/>
  <c r="L190" i="26"/>
  <c r="M190" i="26"/>
  <c r="N190" i="26"/>
  <c r="O190" i="26"/>
  <c r="K196" i="26"/>
  <c r="L196" i="26"/>
  <c r="M196" i="26"/>
  <c r="N196" i="26"/>
  <c r="O196" i="26"/>
  <c r="K199" i="26"/>
  <c r="L199" i="26"/>
  <c r="M199" i="26"/>
  <c r="N199" i="26"/>
  <c r="O199" i="26"/>
  <c r="K212" i="26"/>
  <c r="L212" i="26"/>
  <c r="M212" i="26"/>
  <c r="N212" i="26"/>
  <c r="O212" i="26"/>
  <c r="L219" i="26"/>
  <c r="M219" i="26"/>
  <c r="N219" i="26"/>
  <c r="O219" i="26"/>
  <c r="K220" i="26"/>
  <c r="L220" i="26"/>
  <c r="M220" i="26"/>
  <c r="N220" i="26"/>
  <c r="O220" i="26"/>
  <c r="K221" i="26"/>
  <c r="L221" i="26"/>
  <c r="M221" i="26"/>
  <c r="N221" i="26"/>
  <c r="O221" i="26"/>
  <c r="K223" i="26"/>
  <c r="L223" i="26"/>
  <c r="M223" i="26"/>
  <c r="N223" i="26"/>
  <c r="O223" i="26"/>
  <c r="L230" i="26"/>
  <c r="M230" i="26"/>
  <c r="N230" i="26"/>
  <c r="O230" i="26"/>
  <c r="L231" i="26"/>
  <c r="M231" i="26"/>
  <c r="N231" i="26"/>
  <c r="O231" i="26"/>
  <c r="K234" i="26"/>
  <c r="L234" i="26"/>
  <c r="M234" i="26"/>
  <c r="N234" i="26"/>
  <c r="O234" i="26"/>
  <c r="L235" i="26"/>
  <c r="M235" i="26"/>
  <c r="N235" i="26"/>
  <c r="O235" i="26"/>
  <c r="K236" i="26"/>
  <c r="L236" i="26"/>
  <c r="M236" i="26"/>
  <c r="N236" i="26"/>
  <c r="O236" i="26"/>
  <c r="L238" i="26"/>
  <c r="M238" i="26"/>
  <c r="N238" i="26"/>
  <c r="O238" i="26"/>
  <c r="K240" i="26"/>
  <c r="L240" i="26"/>
  <c r="M240" i="26"/>
  <c r="N240" i="26"/>
  <c r="O240" i="26"/>
  <c r="K241" i="26"/>
  <c r="L241" i="26"/>
  <c r="M241" i="26"/>
  <c r="N241" i="26"/>
  <c r="O241" i="26"/>
  <c r="K244" i="26"/>
  <c r="L244" i="26"/>
  <c r="M244" i="26"/>
  <c r="N244" i="26"/>
  <c r="O244" i="26"/>
  <c r="K245" i="26"/>
  <c r="L245" i="26"/>
  <c r="M245" i="26"/>
  <c r="N245" i="26"/>
  <c r="O245" i="26"/>
  <c r="K246" i="26"/>
  <c r="L246" i="26"/>
  <c r="M246" i="26"/>
  <c r="N246" i="26"/>
  <c r="O246" i="26"/>
  <c r="K247" i="26"/>
  <c r="L247" i="26"/>
  <c r="M247" i="26"/>
  <c r="N247" i="26"/>
  <c r="O247" i="26"/>
  <c r="K248" i="26"/>
  <c r="L248" i="26"/>
  <c r="M248" i="26"/>
  <c r="N248" i="26"/>
  <c r="O248" i="26"/>
  <c r="L257" i="26"/>
  <c r="M257" i="26"/>
  <c r="N257" i="26"/>
  <c r="O257" i="26"/>
  <c r="K258" i="26"/>
  <c r="L258" i="26"/>
  <c r="M258" i="26"/>
  <c r="N258" i="26"/>
  <c r="O258" i="26"/>
  <c r="K259" i="26"/>
  <c r="L259" i="26"/>
  <c r="M259" i="26"/>
  <c r="N259" i="26"/>
  <c r="O259" i="26"/>
  <c r="K261" i="26"/>
  <c r="L261" i="26"/>
  <c r="M261" i="26"/>
  <c r="N261" i="26"/>
  <c r="O261" i="26"/>
  <c r="K263" i="26"/>
  <c r="L263" i="26"/>
  <c r="M263" i="26"/>
  <c r="N263" i="26"/>
  <c r="O263" i="26"/>
  <c r="K264" i="26"/>
  <c r="L264" i="26"/>
  <c r="M264" i="26"/>
  <c r="N264" i="26"/>
  <c r="O264" i="26"/>
  <c r="K267" i="26"/>
  <c r="L267" i="26"/>
  <c r="M267" i="26"/>
  <c r="N267" i="26"/>
  <c r="O267" i="26"/>
  <c r="L270" i="26"/>
  <c r="M270" i="26"/>
  <c r="N270" i="26"/>
  <c r="O270" i="26"/>
  <c r="L271" i="26"/>
  <c r="M271" i="26"/>
  <c r="N271" i="26"/>
  <c r="O271" i="26"/>
  <c r="K272" i="26"/>
  <c r="L272" i="26"/>
  <c r="M272" i="26"/>
  <c r="N272" i="26"/>
  <c r="O272" i="26"/>
  <c r="K273" i="26"/>
  <c r="L273" i="26"/>
  <c r="M273" i="26"/>
  <c r="N273" i="26"/>
  <c r="O273" i="26"/>
  <c r="K275" i="26"/>
  <c r="L275" i="26"/>
  <c r="M275" i="26"/>
  <c r="N275" i="26"/>
  <c r="O275" i="26"/>
  <c r="K277" i="26"/>
  <c r="L277" i="26"/>
  <c r="M277" i="26"/>
  <c r="N277" i="26"/>
  <c r="O277" i="26"/>
  <c r="L281" i="26"/>
  <c r="M281" i="26"/>
  <c r="N281" i="26"/>
  <c r="O281" i="26"/>
  <c r="K282" i="26"/>
  <c r="L282" i="26"/>
  <c r="M282" i="26"/>
  <c r="N282" i="26"/>
  <c r="O282" i="26"/>
  <c r="K283" i="26"/>
  <c r="L283" i="26"/>
  <c r="M283" i="26"/>
  <c r="N283" i="26"/>
  <c r="O283" i="26"/>
  <c r="K284" i="26"/>
  <c r="L284" i="26"/>
  <c r="M284" i="26"/>
  <c r="N284" i="26"/>
  <c r="O284" i="26"/>
  <c r="K286" i="26"/>
  <c r="L286" i="26"/>
  <c r="M286" i="26"/>
  <c r="N286" i="26"/>
  <c r="O286" i="26"/>
  <c r="K288" i="26"/>
  <c r="L288" i="26"/>
  <c r="M288" i="26"/>
  <c r="N288" i="26"/>
  <c r="O288" i="26"/>
  <c r="L292" i="26"/>
  <c r="M292" i="26"/>
  <c r="N292" i="26"/>
  <c r="O292" i="26"/>
  <c r="K293" i="26"/>
  <c r="L293" i="26"/>
  <c r="M293" i="26"/>
  <c r="N293" i="26"/>
  <c r="O293" i="26"/>
  <c r="K294" i="26"/>
  <c r="L294" i="26"/>
  <c r="M294" i="26"/>
  <c r="N294" i="26"/>
  <c r="O294" i="26"/>
  <c r="K296" i="26"/>
  <c r="L296" i="26"/>
  <c r="M296" i="26"/>
  <c r="N296" i="26"/>
  <c r="O296" i="26"/>
  <c r="K297" i="26"/>
  <c r="L297" i="26"/>
  <c r="M297" i="26"/>
  <c r="N297" i="26"/>
  <c r="O297" i="26"/>
  <c r="L304" i="26"/>
  <c r="M304" i="26"/>
  <c r="N304" i="26"/>
  <c r="O304" i="26"/>
  <c r="K305" i="26"/>
  <c r="L305" i="26"/>
  <c r="M305" i="26"/>
  <c r="N305" i="26"/>
  <c r="O305" i="26"/>
  <c r="K306" i="26"/>
  <c r="L306" i="26"/>
  <c r="M306" i="26"/>
  <c r="N306" i="26"/>
  <c r="O306" i="26"/>
  <c r="K308" i="26"/>
  <c r="L308" i="26"/>
  <c r="M308" i="26"/>
  <c r="N308" i="26"/>
  <c r="O308" i="26"/>
  <c r="K309" i="26"/>
  <c r="L309" i="26"/>
  <c r="M309" i="26"/>
  <c r="N309" i="26"/>
  <c r="O309" i="26"/>
  <c r="K313" i="26"/>
  <c r="L313" i="26"/>
  <c r="M313" i="26"/>
  <c r="N313" i="26"/>
  <c r="O313" i="26"/>
  <c r="K314" i="26"/>
  <c r="L314" i="26"/>
  <c r="M314" i="26"/>
  <c r="N314" i="26"/>
  <c r="O314" i="26"/>
  <c r="K315" i="26"/>
  <c r="L315" i="26"/>
  <c r="M315" i="26"/>
  <c r="N315" i="26"/>
  <c r="O315" i="26"/>
  <c r="K316" i="26"/>
  <c r="L316" i="26"/>
  <c r="M316" i="26"/>
  <c r="N316" i="26"/>
  <c r="O316" i="26"/>
  <c r="K317" i="26"/>
  <c r="L317" i="26"/>
  <c r="M317" i="26"/>
  <c r="N317" i="26"/>
  <c r="O317" i="26"/>
  <c r="K318" i="26"/>
  <c r="L318" i="26"/>
  <c r="M318" i="26"/>
  <c r="N318" i="26"/>
  <c r="O318" i="26"/>
  <c r="K319" i="26"/>
  <c r="L319" i="26"/>
  <c r="M319" i="26"/>
  <c r="N319" i="26"/>
  <c r="O319" i="26"/>
  <c r="K320" i="26"/>
  <c r="L320" i="26"/>
  <c r="M320" i="26"/>
  <c r="N320" i="26"/>
  <c r="O320" i="26"/>
  <c r="K329" i="26"/>
  <c r="L329" i="26"/>
  <c r="M329" i="26"/>
  <c r="N329" i="26"/>
  <c r="O329" i="26"/>
  <c r="K330" i="26"/>
  <c r="L330" i="26"/>
  <c r="M330" i="26"/>
  <c r="N330" i="26"/>
  <c r="O330" i="26"/>
  <c r="K331" i="26"/>
  <c r="L331" i="26"/>
  <c r="M331" i="26"/>
  <c r="N331" i="26"/>
  <c r="O331" i="26"/>
  <c r="K333" i="26"/>
  <c r="L333" i="26"/>
  <c r="M333" i="26"/>
  <c r="N333" i="26"/>
  <c r="O333" i="26"/>
  <c r="K335" i="26"/>
  <c r="L335" i="26"/>
  <c r="M335" i="26"/>
  <c r="N335" i="26"/>
  <c r="O335" i="26"/>
  <c r="K337" i="26"/>
  <c r="L337" i="26"/>
  <c r="M337" i="26"/>
  <c r="N337" i="26"/>
  <c r="O337" i="26"/>
  <c r="G341" i="26"/>
  <c r="H341" i="26"/>
  <c r="K341" i="26"/>
  <c r="G342" i="26"/>
  <c r="H342" i="26"/>
  <c r="L342" i="26"/>
  <c r="G343" i="26"/>
  <c r="H343" i="26"/>
  <c r="M343" i="26"/>
  <c r="G344" i="26"/>
  <c r="H344" i="26"/>
  <c r="N344" i="26"/>
  <c r="G345" i="26"/>
  <c r="H345" i="26"/>
  <c r="O34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Kimpel</author>
  </authors>
  <commentList>
    <comment ref="H48" authorId="0" shapeId="0" xr:uid="{D39114CF-C177-4CAD-B195-92F033C59DA6}">
      <text>
        <r>
          <rPr>
            <b/>
            <sz val="9"/>
            <color indexed="81"/>
            <rFont val="Tahoma"/>
            <family val="2"/>
          </rPr>
          <t>Michael Kimpel:</t>
        </r>
        <r>
          <rPr>
            <sz val="9"/>
            <color indexed="81"/>
            <rFont val="Tahoma"/>
            <family val="2"/>
          </rPr>
          <t xml:space="preserve">
Calculate the Debt $'s by multiplying the EBITDA (x) by Financing EBITDA above. Then calculate % Total.</t>
        </r>
      </text>
    </comment>
    <comment ref="N48" authorId="0" shapeId="0" xr:uid="{76DD07A1-A553-46B5-9DF5-6BFA0BE04162}">
      <text>
        <r>
          <rPr>
            <b/>
            <sz val="9"/>
            <color indexed="81"/>
            <rFont val="Tahoma"/>
            <family val="2"/>
          </rPr>
          <t>Michael Kimpel:</t>
        </r>
        <r>
          <rPr>
            <sz val="9"/>
            <color indexed="81"/>
            <rFont val="Tahoma"/>
            <family val="2"/>
          </rPr>
          <t xml:space="preserve">
Link in Equity Value (Payment to Seller) from above. This is what we have to pay the seller to buy the company. </t>
        </r>
      </text>
    </comment>
    <comment ref="H49" authorId="0" shapeId="0" xr:uid="{EE194696-3246-482C-B0E9-7C7378C92D21}">
      <text>
        <r>
          <rPr>
            <b/>
            <sz val="9"/>
            <color indexed="81"/>
            <rFont val="Tahoma"/>
            <family val="2"/>
          </rPr>
          <t>Michael Kimpel:</t>
        </r>
        <r>
          <rPr>
            <sz val="9"/>
            <color indexed="81"/>
            <rFont val="Tahoma"/>
            <family val="2"/>
          </rPr>
          <t xml:space="preserve">
Calculate the Debt $'s by multiplying the EBITDA (x) by Financing EBITDA above. Then calculate % Total.</t>
        </r>
      </text>
    </comment>
    <comment ref="N49" authorId="0" shapeId="0" xr:uid="{D59A1108-5D66-4E36-9667-81C01686F8A9}">
      <text>
        <r>
          <rPr>
            <b/>
            <sz val="9"/>
            <color indexed="81"/>
            <rFont val="Tahoma"/>
            <family val="2"/>
          </rPr>
          <t>Michael Kimpel:</t>
        </r>
        <r>
          <rPr>
            <sz val="9"/>
            <color indexed="81"/>
            <rFont val="Tahoma"/>
            <family val="2"/>
          </rPr>
          <t xml:space="preserve">
Link in the initial Ending Balance for the Fee column of the Deferred Financing Fees table above. Note that it will be zero for now…that's OK! </t>
        </r>
      </text>
    </comment>
    <comment ref="H50" authorId="0" shapeId="0" xr:uid="{6C09D50E-4699-4B5F-8182-5D24045FF6DB}">
      <text>
        <r>
          <rPr>
            <b/>
            <sz val="9"/>
            <color indexed="81"/>
            <rFont val="Tahoma"/>
            <family val="2"/>
          </rPr>
          <t>Michael Kimpel:</t>
        </r>
        <r>
          <rPr>
            <sz val="9"/>
            <color indexed="81"/>
            <rFont val="Tahoma"/>
            <family val="2"/>
          </rPr>
          <t xml:space="preserve">
Calculate the Debt $'s by multiplying the EBITDA (x) by Financing EBITDA above. Then calculate % Total.</t>
        </r>
      </text>
    </comment>
    <comment ref="N50" authorId="0" shapeId="0" xr:uid="{637D8ADA-E181-41A3-8744-C809E5DFADF7}">
      <text>
        <r>
          <rPr>
            <b/>
            <sz val="9"/>
            <color indexed="81"/>
            <rFont val="Tahoma"/>
            <family val="2"/>
          </rPr>
          <t>Michael Kimpel:</t>
        </r>
        <r>
          <rPr>
            <sz val="9"/>
            <color indexed="81"/>
            <rFont val="Tahoma"/>
            <family val="2"/>
          </rPr>
          <t xml:space="preserve">
Calculate Transaction Fees using the % assumption in Misc above and TEV at Purchase in Purchase Calcs above</t>
        </r>
      </text>
    </comment>
    <comment ref="H51" authorId="0" shapeId="0" xr:uid="{59419D01-04AF-4B8F-84BB-E44310740E2B}">
      <text>
        <r>
          <rPr>
            <b/>
            <sz val="9"/>
            <color indexed="81"/>
            <rFont val="Tahoma"/>
            <family val="2"/>
          </rPr>
          <t>Michael Kimpel:</t>
        </r>
        <r>
          <rPr>
            <sz val="9"/>
            <color indexed="81"/>
            <rFont val="Tahoma"/>
            <family val="2"/>
          </rPr>
          <t xml:space="preserve">
Calculate the Debt $'s by multiplying the EBITDA (x) by Financing EBITDA above. Then calculate % Total.</t>
        </r>
      </text>
    </comment>
    <comment ref="H52" authorId="0" shapeId="0" xr:uid="{02DD5911-CFA5-4269-B796-C15809BBCFD4}">
      <text>
        <r>
          <rPr>
            <b/>
            <sz val="9"/>
            <color indexed="81"/>
            <rFont val="Tahoma"/>
            <family val="2"/>
          </rPr>
          <t>Michael Kimpel:</t>
        </r>
        <r>
          <rPr>
            <sz val="9"/>
            <color indexed="81"/>
            <rFont val="Tahoma"/>
            <family val="2"/>
          </rPr>
          <t xml:space="preserve">
We have Total Uses (i.e. what we need to pay) and all of our Debt funding. As the PE Fund (aka "Sponsor"), we have to fund the remainder. So we take Total Uses and subtract all of our Debt funding.
EBITDA (x) for Sponsor Equity is just the Sponsor Equity ($'s) divided by Financing EBITDA.</t>
        </r>
      </text>
    </comment>
    <comment ref="H53" authorId="0" shapeId="0" xr:uid="{18575786-C379-46DE-9976-53F97C303956}">
      <text>
        <r>
          <rPr>
            <b/>
            <sz val="9"/>
            <color indexed="81"/>
            <rFont val="Tahoma"/>
            <family val="2"/>
          </rPr>
          <t>Michael Kimpel:</t>
        </r>
        <r>
          <rPr>
            <sz val="9"/>
            <color indexed="81"/>
            <rFont val="Tahoma"/>
            <family val="2"/>
          </rPr>
          <t xml:space="preserve">
Sum up total sources (EBITDA (x), $'s and %'s)</t>
        </r>
      </text>
    </comment>
    <comment ref="N53" authorId="0" shapeId="0" xr:uid="{B08E8485-0250-4D92-8BED-91586831172B}">
      <text>
        <r>
          <rPr>
            <b/>
            <sz val="9"/>
            <color indexed="81"/>
            <rFont val="Tahoma"/>
            <family val="2"/>
          </rPr>
          <t>Michael Kimpel:</t>
        </r>
        <r>
          <rPr>
            <sz val="9"/>
            <color indexed="81"/>
            <rFont val="Tahoma"/>
            <family val="2"/>
          </rPr>
          <t xml:space="preserve">
Sum up all of the Uses. This is what we need to pay to get the deal done. Cnce completed, we then move to Sources to figure out how we will fund the Uses</t>
        </r>
      </text>
    </comment>
  </commentList>
</comments>
</file>

<file path=xl/sharedStrings.xml><?xml version="1.0" encoding="utf-8"?>
<sst xmlns="http://schemas.openxmlformats.org/spreadsheetml/2006/main" count="5645" uniqueCount="347">
  <si>
    <t>Company Name</t>
  </si>
  <si>
    <t>Gooey Cookies</t>
  </si>
  <si>
    <t>Average Interest Trigger</t>
  </si>
  <si>
    <t>Minimum Cash</t>
  </si>
  <si>
    <t>($s Millions, except where noted)</t>
  </si>
  <si>
    <t>Sources</t>
  </si>
  <si>
    <t>Uses</t>
  </si>
  <si>
    <t>Revolving Credit Facility</t>
  </si>
  <si>
    <t>First Lien Term Loan</t>
  </si>
  <si>
    <t>Second Lien Term Loan</t>
  </si>
  <si>
    <t>Notes</t>
  </si>
  <si>
    <t>Sponsor Equity</t>
  </si>
  <si>
    <t>Total Sources</t>
  </si>
  <si>
    <t>Payment to Seller</t>
  </si>
  <si>
    <t>Financing Fees</t>
  </si>
  <si>
    <t>Transaction Fees</t>
  </si>
  <si>
    <t>Total Uses</t>
  </si>
  <si>
    <t>Gross Profit</t>
  </si>
  <si>
    <t>SG&amp;A</t>
  </si>
  <si>
    <t>EBIT</t>
  </si>
  <si>
    <t>Interest Income</t>
  </si>
  <si>
    <t>Interest Expense</t>
  </si>
  <si>
    <t>Income Tax Expense</t>
  </si>
  <si>
    <t>Net Income</t>
  </si>
  <si>
    <t>Cost of Goods Sold (Cost of Sales)</t>
  </si>
  <si>
    <t>Operating Income (EBIT)</t>
  </si>
  <si>
    <t>Profit Before Tax (PBT)</t>
  </si>
  <si>
    <t>Key Metrics</t>
  </si>
  <si>
    <t>Revenue Growth YoY (Year-Over-Year) %</t>
  </si>
  <si>
    <t>Gross Margin</t>
  </si>
  <si>
    <t>Adjusted EBITDA Margin</t>
  </si>
  <si>
    <t>Income Tax Rate</t>
  </si>
  <si>
    <t>Adjusted EBITDA Growth (YoY)</t>
  </si>
  <si>
    <t>Revenue</t>
  </si>
  <si>
    <t>Plus: D&amp;A</t>
  </si>
  <si>
    <t>EBITDA</t>
  </si>
  <si>
    <t>Adjusted EBITDA</t>
  </si>
  <si>
    <t>Adjusted EBITDA Bridge</t>
  </si>
  <si>
    <t>Plus: 1x Items</t>
  </si>
  <si>
    <t>X</t>
  </si>
  <si>
    <t>Cash</t>
  </si>
  <si>
    <t>Accounts Receivable</t>
  </si>
  <si>
    <t>Inventories</t>
  </si>
  <si>
    <t>Prepaid Expenses</t>
  </si>
  <si>
    <t>Property, Plant &amp; Equipment, Net</t>
  </si>
  <si>
    <t>Goodwill</t>
  </si>
  <si>
    <t>Total Assets</t>
  </si>
  <si>
    <t>Accounts Payable</t>
  </si>
  <si>
    <t>Accrued Liabilities</t>
  </si>
  <si>
    <t>Deferred Revenue</t>
  </si>
  <si>
    <t>Total Financial Debt</t>
  </si>
  <si>
    <t>Total Liabilities and Shareholders' Equity</t>
  </si>
  <si>
    <t>Balance Check</t>
  </si>
  <si>
    <t>Accounts Receivable Days</t>
  </si>
  <si>
    <t>Inventory Turns</t>
  </si>
  <si>
    <t>Accounts Payable Days</t>
  </si>
  <si>
    <t>Other Long-Term (Operating) Assets</t>
  </si>
  <si>
    <t>Other Long-Term (Operating) Liabilities</t>
  </si>
  <si>
    <t>Memo: Local Pull</t>
  </si>
  <si>
    <t>Prepaid Expenses as % of Revenue</t>
  </si>
  <si>
    <t>Net Working Capital [CA (Excl Cash) - CL)]</t>
  </si>
  <si>
    <t>Total Current Liabilities (CL)</t>
  </si>
  <si>
    <t>Total Current Assets (CA)</t>
  </si>
  <si>
    <t>General Model Assumptions + Checks</t>
  </si>
  <si>
    <t>Transaction Assumptions</t>
  </si>
  <si>
    <t>First Projected Year</t>
  </si>
  <si>
    <t>Operating Activities:</t>
  </si>
  <si>
    <t>Depreciation and Amortization</t>
  </si>
  <si>
    <t>Changes in Net Working Capital</t>
  </si>
  <si>
    <t>Cash Flow from Operations</t>
  </si>
  <si>
    <t>Investing Activities:</t>
  </si>
  <si>
    <t>Capital Expenditures</t>
  </si>
  <si>
    <t>Cash Flow from Investing</t>
  </si>
  <si>
    <t>Mandatory Debt Repayments:</t>
  </si>
  <si>
    <t>Total Mandatory Debt Repayments</t>
  </si>
  <si>
    <t>Excess Cash Flow</t>
  </si>
  <si>
    <t>Beginning Cash Balance</t>
  </si>
  <si>
    <t>Less: Minimum Cash Balance</t>
  </si>
  <si>
    <t>Plus: Excess Cash Flow</t>
  </si>
  <si>
    <t>Optional Debt Repayments:</t>
  </si>
  <si>
    <t>Total Optional Debt Repayments</t>
  </si>
  <si>
    <t>Financing Activities:</t>
  </si>
  <si>
    <t>Mandatory Debt Repayments</t>
  </si>
  <si>
    <t>Optional Debt Repayments</t>
  </si>
  <si>
    <t>Cash Flow from Financing</t>
  </si>
  <si>
    <t>Working Capital + LT Operating Asset/Liability Adjustments:</t>
  </si>
  <si>
    <t>Cash Available for Optional Debt Repayment (CFADR)</t>
  </si>
  <si>
    <t>Net Change in Cash (CFO + CFI + CFF)</t>
  </si>
  <si>
    <t>Fiscal Year End</t>
  </si>
  <si>
    <t>Optional Repayments</t>
  </si>
  <si>
    <t>Ending Balance</t>
  </si>
  <si>
    <t>Average Balance</t>
  </si>
  <si>
    <t>Mandatory Repayments</t>
  </si>
  <si>
    <t>BOP Balance</t>
  </si>
  <si>
    <t>Borrowing / (Repayment)</t>
  </si>
  <si>
    <t>Interest Rate Benchmark (LIBOR)</t>
  </si>
  <si>
    <t>LIBOR Spread</t>
  </si>
  <si>
    <t>Amortization %</t>
  </si>
  <si>
    <t>Maturity Repayment</t>
  </si>
  <si>
    <t>Maturity Year</t>
  </si>
  <si>
    <t>INTEREST INCOME AND EXPENSE</t>
  </si>
  <si>
    <t>DEBT TABLES</t>
  </si>
  <si>
    <t>DEBT WATERFALL</t>
  </si>
  <si>
    <t>CASH FLOW STATEMENT</t>
  </si>
  <si>
    <t>BALANCE SHEET</t>
  </si>
  <si>
    <t>SOURCES &amp; USES</t>
  </si>
  <si>
    <t xml:space="preserve">Change In Cash </t>
  </si>
  <si>
    <t xml:space="preserve">Interest Income </t>
  </si>
  <si>
    <t>Total Interest Expense</t>
  </si>
  <si>
    <t>PIK Interest</t>
  </si>
  <si>
    <t>PIK Toggle</t>
  </si>
  <si>
    <t>Rate</t>
  </si>
  <si>
    <t>Total Cash Interest Expense</t>
  </si>
  <si>
    <t>Plus: PIK Interest Expense</t>
  </si>
  <si>
    <t>Memo:</t>
  </si>
  <si>
    <t>D&amp;A % of Revenue</t>
  </si>
  <si>
    <t>SG&amp;A % of Revenue</t>
  </si>
  <si>
    <t>Capital Expenditures (CapEx) % of Revenue</t>
  </si>
  <si>
    <t>Deferred Revenue as % of Revenue</t>
  </si>
  <si>
    <t>LT Operating Assets % of Sales</t>
  </si>
  <si>
    <t>LT Operating Liabilities % of Sales</t>
  </si>
  <si>
    <t>Working Capital Assumptions</t>
  </si>
  <si>
    <t>CFO + CFI</t>
  </si>
  <si>
    <t>Less: Mandatory Payments</t>
  </si>
  <si>
    <t>Increases</t>
  </si>
  <si>
    <t>Decreases</t>
  </si>
  <si>
    <t>Pro Forma</t>
  </si>
  <si>
    <t>LTM EBITDA @ Purchase</t>
  </si>
  <si>
    <t>Total Enterprise Value (at Purchase)</t>
  </si>
  <si>
    <t>Transaction Fee % of TEV</t>
  </si>
  <si>
    <t>Financing Fee % of Debt Raised</t>
  </si>
  <si>
    <t>Less: Debt at Purchase</t>
  </si>
  <si>
    <t>Plus: Cash at Purchase</t>
  </si>
  <si>
    <t>Equity Value (Payment to Seller)</t>
  </si>
  <si>
    <t>EBITDA (x)</t>
  </si>
  <si>
    <t>$'s</t>
  </si>
  <si>
    <t>% Total</t>
  </si>
  <si>
    <t>Financing EBITDA</t>
  </si>
  <si>
    <t>RCF Capacity</t>
  </si>
  <si>
    <t>Equity Purchase Price</t>
  </si>
  <si>
    <t>Less: Book Value of Equity</t>
  </si>
  <si>
    <t>New Goodwill Created</t>
  </si>
  <si>
    <t>Goodwill:</t>
  </si>
  <si>
    <t>Purchase Calcs:</t>
  </si>
  <si>
    <t>Misc:</t>
  </si>
  <si>
    <t>Deferred Financing Fees</t>
  </si>
  <si>
    <t>Existing Long-Term Debt</t>
  </si>
  <si>
    <t>Fee %</t>
  </si>
  <si>
    <t>RCF Overdraw Check</t>
  </si>
  <si>
    <t>Interest Rate</t>
  </si>
  <si>
    <t>PIK Interest Expense</t>
  </si>
  <si>
    <t>Deferred Financing Fees:</t>
  </si>
  <si>
    <t>Term</t>
  </si>
  <si>
    <t>Fee</t>
  </si>
  <si>
    <t>Amort</t>
  </si>
  <si>
    <t>Annual</t>
  </si>
  <si>
    <t>Amortization</t>
  </si>
  <si>
    <t>Adjustments</t>
  </si>
  <si>
    <t>Commitment Fee Expense</t>
  </si>
  <si>
    <t>Revenue Growth</t>
  </si>
  <si>
    <t>Adj. EBITDA</t>
  </si>
  <si>
    <t>Adj. EBITDA Margin</t>
  </si>
  <si>
    <t>Cash Interest Expense, Net</t>
  </si>
  <si>
    <t>Less: Cash Interest Expense, Net</t>
  </si>
  <si>
    <t>Less: Changes in Working Capital</t>
  </si>
  <si>
    <t>Less: Capital Expenditures</t>
  </si>
  <si>
    <t>Free Cash Flow</t>
  </si>
  <si>
    <t>Cumulative Free Cash Flow</t>
  </si>
  <si>
    <t>Capitalization:</t>
  </si>
  <si>
    <t>Existing Debt</t>
  </si>
  <si>
    <t>Total Bank Debt</t>
  </si>
  <si>
    <t>Total Debt</t>
  </si>
  <si>
    <t>Total Capitalization</t>
  </si>
  <si>
    <t>Summary Credit Statistics:</t>
  </si>
  <si>
    <t>Total Debt / Adj. EBITDA</t>
  </si>
  <si>
    <t>Net Debt / Adj. EBITDA</t>
  </si>
  <si>
    <t>Free Cash Flow / Total Debt</t>
  </si>
  <si>
    <t>Adj. EBITDA / Net Cash Interest Expense</t>
  </si>
  <si>
    <t>(Adj. EBITDA - Capex) / Net Cash Interest Expense</t>
  </si>
  <si>
    <t>CapEx as % of Revenue</t>
  </si>
  <si>
    <t>Free Cash Flow:</t>
  </si>
  <si>
    <t>Less: Income Taxes</t>
  </si>
  <si>
    <t>FINANCIAL SUMMARY</t>
  </si>
  <si>
    <t>Equity</t>
  </si>
  <si>
    <t>Change in Net Debt</t>
  </si>
  <si>
    <t>FCF</t>
  </si>
  <si>
    <t>Check</t>
  </si>
  <si>
    <t>Balance Sheet Check</t>
  </si>
  <si>
    <t>Revolver Check</t>
  </si>
  <si>
    <t>FCF to Net Debt Check</t>
  </si>
  <si>
    <t>Model Check</t>
  </si>
  <si>
    <t>FCF Check</t>
  </si>
  <si>
    <t>EOP Balance</t>
  </si>
  <si>
    <t>Interest Earned on Cash %</t>
  </si>
  <si>
    <t>INCOME STATEMENT</t>
  </si>
  <si>
    <t>Net Working Capital % of Sales</t>
  </si>
  <si>
    <t>CFADR Calculation:</t>
  </si>
  <si>
    <r>
      <rPr>
        <u/>
        <sz val="10"/>
        <color theme="1"/>
        <rFont val="Calibri"/>
        <family val="2"/>
      </rPr>
      <t>Interest Expense</t>
    </r>
    <r>
      <rPr>
        <sz val="10"/>
        <color theme="1"/>
        <rFont val="Calibri"/>
        <family val="2"/>
        <scheme val="minor"/>
      </rPr>
      <t>:</t>
    </r>
  </si>
  <si>
    <t>Interest Expense (Cash + PIK + Def Fin Fees)</t>
  </si>
  <si>
    <t>RETURNS ANALYSIS</t>
  </si>
  <si>
    <t>Exit Multiple</t>
  </si>
  <si>
    <t>TEV</t>
  </si>
  <si>
    <t>Less: Debt</t>
  </si>
  <si>
    <t>Plus: Cash</t>
  </si>
  <si>
    <t>Equity Value</t>
  </si>
  <si>
    <t>Management Equity</t>
  </si>
  <si>
    <t>Entry TEV/LTM EBITDA Multiple</t>
  </si>
  <si>
    <t>Excess Return</t>
  </si>
  <si>
    <t>Exit Sponsor Equity</t>
  </si>
  <si>
    <t>MOIC</t>
  </si>
  <si>
    <t>IRR</t>
  </si>
  <si>
    <t>Accrued Liabilities as % of Total Expenses</t>
  </si>
  <si>
    <t>Invested</t>
  </si>
  <si>
    <t>xx</t>
  </si>
  <si>
    <t>x</t>
  </si>
  <si>
    <t>Mgmt Equity (% of Upside)</t>
  </si>
  <si>
    <t>&lt;-- 1: Link in the Last Twelve Months (LTM) EBITDA from the Income Statement</t>
  </si>
  <si>
    <t>&lt;-- 2: Calculate Total Enterprise Value</t>
  </si>
  <si>
    <t>&lt;-- 3: Link in total Financial Debt from the Balance Sheet</t>
  </si>
  <si>
    <t>&lt;-- 4: Link in total Cash from the Balance Sheet</t>
  </si>
  <si>
    <t>&lt;-- 5: Calculate Equity Value</t>
  </si>
  <si>
    <t>&lt;-- 6: Link in  the Equity Value paid to the seller at close</t>
  </si>
  <si>
    <t>(A)</t>
  </si>
  <si>
    <t>(B)</t>
  </si>
  <si>
    <t>(C)</t>
  </si>
  <si>
    <t>(D)</t>
  </si>
  <si>
    <t>(E)</t>
  </si>
  <si>
    <t>(F)</t>
  </si>
  <si>
    <t>(G)</t>
  </si>
  <si>
    <t>(B) Divide the fee by the Term of the debt to get to the Annual Amortization</t>
  </si>
  <si>
    <t>&lt;-- 2: Sum up the Ending Balance for the fees in each year</t>
  </si>
  <si>
    <t>&lt;-- 3: Subtract the Prior Year balance from the Current Year to calculate annual Amortization</t>
  </si>
  <si>
    <t>(C) Link Financing Fees from the S&amp;U to Deferred Financing Fees</t>
  </si>
  <si>
    <t>&lt;-- 3: Complete the Transaction Adjustments by bringing the S&amp;U down to the Balance Sheet:</t>
  </si>
  <si>
    <t>&lt;-- 1: Follow these steps to complete the Pro Forma column:</t>
  </si>
  <si>
    <t>(B) For major line items (e.g. Total Current Assets), sum vertically instead of horizontally</t>
  </si>
  <si>
    <t>(B) Link Sponsor Equity to Increases in the Equity account to reflect the starting balance of our Equity account</t>
  </si>
  <si>
    <t>(E) Remember that the Equity Purchase Price is broken into two pieces:</t>
  </si>
  <si>
    <t>&lt;-- 1: Link in Net Income from the Income Statement</t>
  </si>
  <si>
    <t>&lt;-- 2: Link in Depreciation from the Income Statement</t>
  </si>
  <si>
    <t xml:space="preserve">&lt;-- 6: Sum up the total change in Net Working Capital </t>
  </si>
  <si>
    <t>&lt;-- 4: Calculate source/use of cash impact (PRIOR - CURRENT). Repeat for all Assets listed</t>
  </si>
  <si>
    <t>&lt;-- 8: Link in Capital Expenditures from below the Income Statement</t>
  </si>
  <si>
    <t>&lt;-- 9: Sum up Capital Expenditures to calculate CFI</t>
  </si>
  <si>
    <t>&lt;-- 11: Sum up CFO + CFI + CFF to calculate the Net Change in Cash</t>
  </si>
  <si>
    <t>&lt;-- 4: Sum up CFO + CFI and Mandatory Payments</t>
  </si>
  <si>
    <t>&lt;-- 6: Link in the minimum cash assumption from our Assumptions section at the top of the model</t>
  </si>
  <si>
    <t>&lt;-- 7: Link in Excess Cash Flow from above</t>
  </si>
  <si>
    <t>&lt;-- 8: Sum up Beginning Cash Balance, Minimum Cash Balance, and Excess Cash Flow</t>
  </si>
  <si>
    <t>&lt;-- 9: Sum up all Optional Repayments (will be zero for now)</t>
  </si>
  <si>
    <t>&lt;-- 1: Sum up First Lien Mandatory Repayment (will be zero for now)</t>
  </si>
  <si>
    <t>&lt;-- 3: Sum up the Beginning Balance and Optional Repayments</t>
  </si>
  <si>
    <t>&lt;-- 2: Use a -MIN function to calculate paydown based on CFADR</t>
  </si>
  <si>
    <t>&lt;-- 4: Link in the RCF capacity from Transaction Assumptions and calculate the average debt balance in each year</t>
  </si>
  <si>
    <t>&lt;-- 7: Link in the RCF Borrowing / (Repayment) row from the RCF schedule to reflect cash inflows/outflows</t>
  </si>
  <si>
    <t>&lt;-- 8: Link the ending balance for each period from the Revolving Credit Facility schedule</t>
  </si>
  <si>
    <t>&lt;-- 2: Calculate Mandatory Repayments as the lesser of the BOP balance or the Amortization % multiplied by the ORIGINAL debt balance</t>
  </si>
  <si>
    <t>&lt;-- 4: Sum up the Beginning Balance, Mandatory and Optional Repayments</t>
  </si>
  <si>
    <t>&lt;-- 5: Calculate the average debt balance in each year</t>
  </si>
  <si>
    <t>&lt;-- 7: Link in the First Lien Mandatory Repayments here to reflect cash outflows</t>
  </si>
  <si>
    <t>&lt;-- 8: Link in the First Lien Optional Repayments here to reflect cash outflows</t>
  </si>
  <si>
    <t>&lt;-- 3: Sum up the Beginning Balance, PIK Interest and Optional Repayments</t>
  </si>
  <si>
    <t>&lt;-- 4: Calculate the average debt balance in each year</t>
  </si>
  <si>
    <t>&lt;-- 6: Link in the Second Lien Optional Repayments here to reflect cash outflows</t>
  </si>
  <si>
    <t>&lt;-- 9: Link the ending balance for each period from the First Lien Term Loan schedule</t>
  </si>
  <si>
    <t>&lt;-- 7: Link the ending balance for each period from the Second Lien Term Loan schedule</t>
  </si>
  <si>
    <t>&lt;-- 3: Sum up the Beginning Balance and Maturity Repayment</t>
  </si>
  <si>
    <t>&lt;-- 5: Link in the Note Maturity Repayment here to reflect cash outflows</t>
  </si>
  <si>
    <t>&lt;-- 6: Link the ending balance for each period from the Notes schedule</t>
  </si>
  <si>
    <t>&lt;-- 1: Link in the total Mandatory Repayments from the Debt Waterfall</t>
  </si>
  <si>
    <t>&lt;-- 2: Link in the total Optional Debt Repayments from the Debt Waterfall</t>
  </si>
  <si>
    <t>&lt;-- 1: Use a circuit breaker to toggle between average balance and zero for the Interest Expense calculation</t>
  </si>
  <si>
    <t>&lt;-- 2: Use a circuit breaker to toggle between average balance and zero for the Interest Expense calculation. Note the Commitment Fee is based on the UNDRAWN balance of the RCF</t>
  </si>
  <si>
    <t>&lt;-- 3: Use a circuit breaker to toggle between average balance and zero for the Interest Expense calculation</t>
  </si>
  <si>
    <t>&lt;-- 6: Use a circuit breaker to toggle between average balance and zero for the Interest Expense calculation</t>
  </si>
  <si>
    <t>&lt;-- 9: Ending Balance - Beginning Balance</t>
  </si>
  <si>
    <t>&lt;-- 10: Calculate the average debt balance in each year</t>
  </si>
  <si>
    <t>&lt;-- 11: Use a circuit breaker to toggle between average balance and zero for the Interest Income calculation</t>
  </si>
  <si>
    <t>&lt;-- 13: Sum up all Cash Interest Expense</t>
  </si>
  <si>
    <t>&lt;-- 12: Link in all Cash Interest Expense items from the Debt Tables above</t>
  </si>
  <si>
    <t>&lt;-- 14: Link in PIK Interest Expense items from the Debt Tables above</t>
  </si>
  <si>
    <t>&lt;-- 15: Sum up all Cash Interest Expense + PIK Interest Expense</t>
  </si>
  <si>
    <t>&lt;-- 16: Link in PIK Interest Expense items from the Debt Tables below</t>
  </si>
  <si>
    <t>&lt;-- 18: Link in Interest Expense from the Interest Income &amp; Expense schedule as well as Deferred Financing Fees from the schedule in Transaction Assumptions</t>
  </si>
  <si>
    <t>&lt;-- 17: Link in Interest Income from the Interest Income &amp; Expense schedule</t>
  </si>
  <si>
    <t>&lt;-- 1: Link in EBITDA from the Income Statement</t>
  </si>
  <si>
    <t>&lt;-- 2: Link in Exit Multiple from Transaction Assumptions</t>
  </si>
  <si>
    <t>&lt;-- 3: Calculate Total Enterprise Value</t>
  </si>
  <si>
    <t>&lt;-- 4: Link in total Financial Debt from the Balance Sheet</t>
  </si>
  <si>
    <t>&lt;-- 5: Link in total Cash from the Balance Sheet</t>
  </si>
  <si>
    <t>&lt;-- 10: Equity Value - Management Equity</t>
  </si>
  <si>
    <t>(A) Link in Sponsor Equity for each year in the Equity Invested column</t>
  </si>
  <si>
    <t>(C) Use the IRR() formula to calculate each year's IRR</t>
  </si>
  <si>
    <t>% of Revenue</t>
  </si>
  <si>
    <t>Revenue Growth %</t>
  </si>
  <si>
    <t>Adj. EBITDA Margin %</t>
  </si>
  <si>
    <t>Repayment of Debt</t>
  </si>
  <si>
    <t>Repayment of Net Debt</t>
  </si>
  <si>
    <t>Price Per Share</t>
  </si>
  <si>
    <t>Fully Diluted Shares</t>
  </si>
  <si>
    <t xml:space="preserve">Plus: Debt </t>
  </si>
  <si>
    <t>Less: Cash</t>
  </si>
  <si>
    <t>Equity Value (Market Capitalization)</t>
  </si>
  <si>
    <t>Cash from Balance Sheet</t>
  </si>
  <si>
    <t>EV Checker</t>
  </si>
  <si>
    <t>Plus: Debt</t>
  </si>
  <si>
    <t>Plus: Net Debt</t>
  </si>
  <si>
    <t>&lt;-- 3: Use Net Change in Cash from the Cash Flow Statement to calculate each year's ending Cash balance</t>
  </si>
  <si>
    <t>&lt;-- 5: Calculate the interest rate (Benchmark + Spread) and don't forget to convert the spread from Basis Points (1/100 of 1%) to a normal percentage</t>
  </si>
  <si>
    <t>&lt;-- 6: Calculate the interest rate (Benchmark + Spread) and don't forget to convert the spread from Basis Points (1/100 of 1%) to a normal percentage</t>
  </si>
  <si>
    <t>&lt;-- 7: Link in Book Equity from the Balance Sheet (as a negative)</t>
  </si>
  <si>
    <t>&lt;-- 9: Fill out the S&amp;U following the letters. Note that each letter has an underlying comment (Shift + F2 to Open…Esc to exit)</t>
  </si>
  <si>
    <t>&lt;-- 8: Sum up to calculate Goodwill (i.e. the excess paid for Equity over the book value of Equity)</t>
  </si>
  <si>
    <t>&lt;-- 1: Follow these steps for each piece of debt:</t>
  </si>
  <si>
    <t>(A) Calculate the fee by multiplying the Financing Fee % by the face value of the debt raised (or Capacity for the RCF)</t>
  </si>
  <si>
    <t>(C) Use =MAX(Fee - Annual Amort, 0) to calculate the fee balance in each year. This formula ensures the balance cannot go below zero</t>
  </si>
  <si>
    <t>(A) Sum up the 2019 balance as well as the Increases and Decreases columns to create the Pro Forma column</t>
  </si>
  <si>
    <t>&lt;-- 2: Create a balance check so we can make sure our Pro Forma column balances after we make our adjustments</t>
  </si>
  <si>
    <t>(A) Pull all Debt items down to the Increases column so we can reflect our starting Debt balances</t>
  </si>
  <si>
    <t>(D) Link Transaction Fees to Decreases (as a negative number) in Equity to reflect the deduction of Transaction Fees at close</t>
  </si>
  <si>
    <r>
      <t>-</t>
    </r>
    <r>
      <rPr>
        <u/>
        <sz val="10"/>
        <color theme="1"/>
        <rFont val="Calibri"/>
        <family val="2"/>
      </rPr>
      <t>Book Equity</t>
    </r>
    <r>
      <rPr>
        <sz val="10"/>
        <color theme="1"/>
        <rFont val="Calibri"/>
        <family val="2"/>
        <scheme val="minor"/>
      </rPr>
      <t>: Needs to be reflected as a negative in Decreases to wipe out the Book Equity that we have purchased</t>
    </r>
  </si>
  <si>
    <r>
      <t>-</t>
    </r>
    <r>
      <rPr>
        <u/>
        <sz val="10"/>
        <color theme="1"/>
        <rFont val="Calibri"/>
        <family val="2"/>
      </rPr>
      <t>Goodwill</t>
    </r>
    <r>
      <rPr>
        <sz val="10"/>
        <color theme="1"/>
        <rFont val="Calibri"/>
        <family val="2"/>
        <scheme val="minor"/>
      </rPr>
      <t>: Link Goodwill from Transaction Assumptions to reflect what we have paid in excess of Book Equity</t>
    </r>
  </si>
  <si>
    <t>&lt;-- 5: Calculate source/use of cash impact (CURRENT - PRIOR). Repeat for all Liabilities listed</t>
  </si>
  <si>
    <t>&lt;-- 7: Calculate CFO (NI + D&amp;A + DFF + PIK +  Change in NWC)</t>
  </si>
  <si>
    <t>&lt;-- 10: Sum up Mandatory and Optional Debt Repayments to calculate CFF. Will be zero for now.</t>
  </si>
  <si>
    <t>&lt;-- 2: Sum up CFO and CFI from the Cash Flow Statement above</t>
  </si>
  <si>
    <t>&lt;-- 3: Link in total Mandatory Repayments from above (as a negative number)</t>
  </si>
  <si>
    <t>&lt;-- 5: Link prior period ending balance from the Balance Sheet for all years. In the first year, we use the Pro Forma balance, not the pre-deal balance</t>
  </si>
  <si>
    <t>&lt;-- 6: Create a check that outputs "1" if the EOP RCF balance is greater than RCF Capacity</t>
  </si>
  <si>
    <t>&lt;-- 1: Link prior period ending balance in first year (from the Pro Forma column in the Balance Sheet); for all years beyond the first year the beginning balance equals the prior period end</t>
  </si>
  <si>
    <t>&lt;-- 5: Use a circuit breaker to toggle between average balance and zero for the Interest Expense calculation. Multiply the entire formula by (1-PIK toggle switch cell)</t>
  </si>
  <si>
    <t>&lt;-- 4: Use a circuit breaker to toggle between average balance and zero for the Interest Expense calculation. Multiply the entire formula by the PIK toggle switch cell</t>
  </si>
  <si>
    <t>&lt;-- 8: Link current period ending balance from the Balance Sheet for all years</t>
  </si>
  <si>
    <t xml:space="preserve">&lt;-- 7: Link prior period ending balance from the Balance Sheet (Pro Forma balance in the first year) </t>
  </si>
  <si>
    <t>&lt;-- 6: Calculate Total Equity Value (this is the total distributable Equity aka the "Equity Pool")</t>
  </si>
  <si>
    <t>&lt;-- 7: Link in Sponsor Equity from the Sources &amp; Uses as a negative</t>
  </si>
  <si>
    <t xml:space="preserve">Less: Equity Invested </t>
  </si>
  <si>
    <t>&lt;-- 8: Use =MAX(Excess Return, 0) to ensure that the Excess Return can't go below Zero</t>
  </si>
  <si>
    <t>&lt;-- 9: Link Management Equity % from Transaction assumptions into the box to the left. Then multiply each year's Excess Return by the Management Equity %</t>
  </si>
  <si>
    <t>Total Equity Value</t>
  </si>
  <si>
    <t>&lt;-- 11: Calculate sponsor returns for each year:</t>
  </si>
  <si>
    <t>(B) Create an =IF() statement that only pulls the Exit Sponsor Equity in the appropriate Exit Year for each row</t>
  </si>
  <si>
    <t>(D) Divide total cash returned by the negative of total cash invested to calculate MOIC</t>
  </si>
  <si>
    <t>&lt;-- 3: Link in Deferred Financing Fee Amortization from the Deferred Financing Fee schedule</t>
  </si>
  <si>
    <t>&lt;-- 3: Use a -MIN function to calculate paydown based on: CFADR +/- RCF Borrowing/(Paydown). Note that the debt we can pay down is the BOP Balance - Mandatory Repayments</t>
  </si>
  <si>
    <t>&lt;-- 2: Use a -MIN function to calculate paydown based on: CFADR +/- RCF Borrowing/(Paydown) - 1L Term Loan Payments. Note that the debt we can pay down is the BOP Balance + PIK Interest</t>
  </si>
  <si>
    <t>&lt;-- 2: Use a -MIN function to calculate paydown based on: CFADR +/- RCF Borrowing/(Paydown) - 1L Term Loan Payments - 2L Term Loan Payments. But remember, that we can only repay in the maturity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</si>
</sst>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On&quot;;&quot;NA&quot;;&quot;Off&quot;"/>
    <numFmt numFmtId="165" formatCode="_([$$]#,##0_);\([$$]#,##0\);_(@_)"/>
    <numFmt numFmtId="166" formatCode="_([$$]#,##0.0_);\([$$]#,##0.0\);_(@_)"/>
    <numFmt numFmtId="167" formatCode="_(#,##0_);\(#,##0\);_(&quot;–&quot;_);_(@_)"/>
    <numFmt numFmtId="168" formatCode="_(#,##0.0_);\(#,##0.0\);_(&quot;–&quot;_);_(@_)"/>
    <numFmt numFmtId="169" formatCode="0&quot;A&quot;"/>
    <numFmt numFmtId="170" formatCode="0&quot;E&quot;"/>
    <numFmt numFmtId="171" formatCode="_(#,##0.0%_);\(#,##0.0%\);_(&quot;–&quot;_)_%;_(@_)_%"/>
    <numFmt numFmtId="172" formatCode="0&quot; bps&quot;"/>
    <numFmt numFmtId="173" formatCode="0&quot; days&quot;"/>
    <numFmt numFmtId="174" formatCode="_(0.0\x_);_(\(0.0\x\);_(&quot;–&quot;_)_%;_(@_)_%"/>
    <numFmt numFmtId="175" formatCode="_(#,##0%_);\(#,##0%\);_(&quot;–&quot;_)_%;_(@_)_%"/>
    <numFmt numFmtId="176" formatCode="_(#,##0.00_);\(#,##0.00\);_(&quot;–&quot;_);_(@_)"/>
    <numFmt numFmtId="177" formatCode="0&quot; Years&quot;"/>
    <numFmt numFmtId="178" formatCode="#,##0.00%;\(#,##0.00%\);&quot;–&quot;;@"/>
    <numFmt numFmtId="179" formatCode="0.0%"/>
    <numFmt numFmtId="180" formatCode="0.000000"/>
    <numFmt numFmtId="181" formatCode="0.0000000000000000_);\(0.0000000000000000\)"/>
    <numFmt numFmtId="182" formatCode="_([$$]#,##0.00_);\([$$]#,##0.00\);_(@_)"/>
  </numFmts>
  <fonts count="17" x14ac:knownFonts="1">
    <font>
      <sz val="11"/>
      <color theme="1"/>
      <name val="Calibri"/>
      <family val="2"/>
      <scheme val="minor"/>
    </font>
    <font>
      <sz val="10"/>
      <color theme="1"/>
      <name val="Calibri"/>
      <family val="2"/>
      <scheme val="minor"/>
    </font>
    <font>
      <b/>
      <sz val="10"/>
      <color theme="1"/>
      <name val="Calibri"/>
      <family val="2"/>
      <scheme val="minor"/>
    </font>
    <font>
      <sz val="10"/>
      <color rgb="FF0000FF"/>
      <name val="Calibri"/>
      <family val="2"/>
      <scheme val="minor"/>
    </font>
    <font>
      <b/>
      <u val="singleAccounting"/>
      <sz val="10"/>
      <color theme="1"/>
      <name val="Calibri"/>
      <family val="2"/>
      <scheme val="minor"/>
    </font>
    <font>
      <u val="singleAccounting"/>
      <sz val="10"/>
      <color theme="1"/>
      <name val="Calibri"/>
      <family val="2"/>
      <scheme val="minor"/>
    </font>
    <font>
      <b/>
      <u/>
      <sz val="10"/>
      <color theme="1"/>
      <name val="Calibri"/>
      <family val="2"/>
      <scheme val="minor"/>
    </font>
    <font>
      <u/>
      <sz val="10"/>
      <color theme="1"/>
      <name val="Calibri"/>
      <family val="2"/>
      <scheme val="minor"/>
    </font>
    <font>
      <i/>
      <sz val="10"/>
      <color theme="1"/>
      <name val="Calibri"/>
      <family val="2"/>
      <scheme val="minor"/>
    </font>
    <font>
      <b/>
      <sz val="10"/>
      <color rgb="FFFFFFFF"/>
      <name val="Calibri"/>
      <family val="2"/>
      <scheme val="minor"/>
    </font>
    <font>
      <sz val="10"/>
      <color rgb="FF000000"/>
      <name val="Calibri"/>
      <family val="2"/>
      <scheme val="minor"/>
    </font>
    <font>
      <b/>
      <sz val="10"/>
      <color rgb="FF000000"/>
      <name val="Calibri"/>
      <family val="2"/>
      <scheme val="minor"/>
    </font>
    <font>
      <u/>
      <sz val="10"/>
      <color theme="1"/>
      <name val="Calibri"/>
      <family val="2"/>
    </font>
    <font>
      <sz val="9"/>
      <color indexed="81"/>
      <name val="Tahoma"/>
      <family val="2"/>
    </font>
    <font>
      <b/>
      <sz val="9"/>
      <color indexed="81"/>
      <name val="Tahoma"/>
      <family val="2"/>
    </font>
    <font>
      <sz val="10"/>
      <name val="Calibri"/>
      <family val="2"/>
      <scheme val="minor"/>
    </font>
    <font>
      <b/>
      <sz val="10"/>
      <color rgb="FF0000FF"/>
      <name val="Calibri"/>
      <family val="2"/>
      <scheme val="minor"/>
    </font>
  </fonts>
  <fills count="5">
    <fill>
      <patternFill patternType="none"/>
    </fill>
    <fill>
      <patternFill patternType="gray125"/>
    </fill>
    <fill>
      <patternFill patternType="solid">
        <fgColor rgb="FF002060"/>
        <bgColor rgb="FF000000"/>
      </patternFill>
    </fill>
    <fill>
      <patternFill patternType="solid">
        <fgColor rgb="FFC9DAF8"/>
        <bgColor rgb="FF000000"/>
      </patternFill>
    </fill>
    <fill>
      <patternFill patternType="solid">
        <fgColor rgb="FFF4CCCC"/>
        <bgColor rgb="FF000000"/>
      </patternFill>
    </fill>
  </fills>
  <borders count="19">
    <border>
      <left/>
      <right/>
      <top/>
      <bottom/>
      <diagonal/>
    </border>
    <border>
      <left/>
      <right/>
      <top/>
      <bottom style="thin">
        <color rgb="FF000000"/>
      </bottom>
      <diagonal/>
    </border>
    <border>
      <left/>
      <right/>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indexed="64"/>
      </right>
      <top/>
      <bottom/>
      <diagonal/>
    </border>
    <border>
      <left/>
      <right style="thin">
        <color indexed="64"/>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01">
    <xf numFmtId="0" fontId="0" fillId="0" borderId="0" xfId="0"/>
    <xf numFmtId="0" fontId="1" fillId="0" borderId="0" xfId="0" applyFont="1"/>
    <xf numFmtId="0" fontId="2" fillId="0" borderId="1" xfId="0" applyFont="1" applyBorder="1"/>
    <xf numFmtId="0" fontId="1" fillId="0" borderId="1" xfId="0" applyFont="1" applyBorder="1"/>
    <xf numFmtId="0" fontId="1" fillId="0" borderId="0" xfId="0" applyFont="1" applyBorder="1"/>
    <xf numFmtId="0" fontId="3" fillId="0" borderId="0" xfId="0" applyFont="1"/>
    <xf numFmtId="164" fontId="3" fillId="0" borderId="0" xfId="0" applyNumberFormat="1" applyFont="1" applyAlignment="1">
      <alignment horizontal="center"/>
    </xf>
    <xf numFmtId="166" fontId="3" fillId="0" borderId="0" xfId="0" applyNumberFormat="1" applyFont="1" applyAlignment="1">
      <alignment horizontal="center"/>
    </xf>
    <xf numFmtId="0" fontId="3" fillId="0" borderId="0" xfId="0" applyNumberFormat="1" applyFont="1" applyAlignment="1">
      <alignment horizontal="center"/>
    </xf>
    <xf numFmtId="16" fontId="3" fillId="0" borderId="0" xfId="0" applyNumberFormat="1" applyFont="1" applyAlignment="1">
      <alignment horizontal="center"/>
    </xf>
    <xf numFmtId="0" fontId="4" fillId="0" borderId="0" xfId="0" applyFont="1" applyBorder="1" applyAlignment="1">
      <alignment horizontal="centerContinuous"/>
    </xf>
    <xf numFmtId="0" fontId="5" fillId="0" borderId="0" xfId="0" applyFont="1" applyBorder="1" applyAlignment="1">
      <alignment horizontal="centerContinuous"/>
    </xf>
    <xf numFmtId="0" fontId="6" fillId="0" borderId="0" xfId="0" applyFont="1"/>
    <xf numFmtId="170" fontId="2" fillId="0" borderId="1" xfId="0" applyNumberFormat="1" applyFont="1" applyBorder="1" applyAlignment="1">
      <alignment horizontal="centerContinuous"/>
    </xf>
    <xf numFmtId="167" fontId="1" fillId="3" borderId="0" xfId="0" applyNumberFormat="1" applyFont="1" applyFill="1"/>
    <xf numFmtId="166" fontId="1" fillId="3" borderId="0" xfId="0" applyNumberFormat="1" applyFont="1" applyFill="1"/>
    <xf numFmtId="168" fontId="1" fillId="3" borderId="0" xfId="0" applyNumberFormat="1" applyFont="1" applyFill="1"/>
    <xf numFmtId="0" fontId="1" fillId="0" borderId="4" xfId="0" applyFont="1" applyBorder="1"/>
    <xf numFmtId="0" fontId="1" fillId="0" borderId="3" xfId="0" applyFont="1" applyBorder="1"/>
    <xf numFmtId="167" fontId="1" fillId="3" borderId="5" xfId="0" applyNumberFormat="1" applyFont="1" applyFill="1" applyBorder="1"/>
    <xf numFmtId="0" fontId="2" fillId="0" borderId="4" xfId="0" applyFont="1" applyBorder="1"/>
    <xf numFmtId="0" fontId="2" fillId="0" borderId="3" xfId="0" applyFont="1" applyBorder="1"/>
    <xf numFmtId="166" fontId="2" fillId="3" borderId="3" xfId="0" applyNumberFormat="1" applyFont="1" applyFill="1" applyBorder="1"/>
    <xf numFmtId="166" fontId="2" fillId="3" borderId="5" xfId="0" applyNumberFormat="1" applyFont="1" applyFill="1" applyBorder="1"/>
    <xf numFmtId="0" fontId="7" fillId="0" borderId="0" xfId="0" applyFont="1"/>
    <xf numFmtId="0" fontId="1" fillId="0" borderId="0" xfId="0" applyFont="1" applyFill="1"/>
    <xf numFmtId="0" fontId="2" fillId="0" borderId="0" xfId="0" applyFont="1" applyAlignment="1">
      <alignment horizontal="center"/>
    </xf>
    <xf numFmtId="0" fontId="1" fillId="0" borderId="1" xfId="0" applyFont="1" applyFill="1" applyBorder="1"/>
    <xf numFmtId="174" fontId="3" fillId="0" borderId="1" xfId="0" applyNumberFormat="1" applyFont="1" applyFill="1" applyBorder="1"/>
    <xf numFmtId="0" fontId="2" fillId="0" borderId="1" xfId="0" applyFont="1" applyBorder="1" applyAlignment="1">
      <alignment horizontal="center"/>
    </xf>
    <xf numFmtId="0" fontId="2" fillId="0" borderId="0" xfId="0" applyFont="1" applyFill="1" applyBorder="1"/>
    <xf numFmtId="166" fontId="2" fillId="3" borderId="0" xfId="0" applyNumberFormat="1" applyFont="1" applyFill="1"/>
    <xf numFmtId="177" fontId="3" fillId="0" borderId="0" xfId="0" applyNumberFormat="1" applyFont="1" applyBorder="1" applyAlignment="1">
      <alignment horizontal="center"/>
    </xf>
    <xf numFmtId="0" fontId="1" fillId="0" borderId="0" xfId="0" applyFont="1" applyFill="1" applyBorder="1"/>
    <xf numFmtId="177" fontId="3" fillId="0" borderId="0" xfId="0" applyNumberFormat="1" applyFont="1" applyAlignment="1">
      <alignment horizontal="center"/>
    </xf>
    <xf numFmtId="168" fontId="1" fillId="3" borderId="0" xfId="0" applyNumberFormat="1" applyFont="1" applyFill="1" applyBorder="1"/>
    <xf numFmtId="0" fontId="2" fillId="0" borderId="8" xfId="0" applyFont="1" applyFill="1" applyBorder="1"/>
    <xf numFmtId="166" fontId="2" fillId="3" borderId="8" xfId="0" applyNumberFormat="1" applyFont="1" applyFill="1" applyBorder="1"/>
    <xf numFmtId="168" fontId="1" fillId="0" borderId="0" xfId="0" applyNumberFormat="1" applyFont="1"/>
    <xf numFmtId="166" fontId="2" fillId="3" borderId="3" xfId="0" applyNumberFormat="1" applyFont="1" applyFill="1" applyBorder="1" applyAlignment="1">
      <alignment horizontal="center"/>
    </xf>
    <xf numFmtId="0" fontId="2" fillId="0" borderId="6" xfId="0" applyFont="1" applyBorder="1"/>
    <xf numFmtId="166" fontId="2" fillId="0" borderId="1" xfId="0" applyNumberFormat="1" applyFont="1" applyBorder="1" applyAlignment="1">
      <alignment horizontal="center"/>
    </xf>
    <xf numFmtId="166" fontId="2" fillId="3" borderId="1" xfId="0" applyNumberFormat="1" applyFont="1" applyFill="1" applyBorder="1"/>
    <xf numFmtId="166" fontId="2" fillId="3" borderId="7" xfId="0" applyNumberFormat="1" applyFont="1" applyFill="1" applyBorder="1"/>
    <xf numFmtId="0" fontId="7" fillId="0" borderId="0" xfId="0" applyFont="1" applyFill="1"/>
    <xf numFmtId="171" fontId="3" fillId="0" borderId="0" xfId="0" applyNumberFormat="1" applyFont="1" applyFill="1"/>
    <xf numFmtId="166" fontId="3" fillId="0" borderId="0" xfId="0" applyNumberFormat="1" applyFont="1" applyBorder="1"/>
    <xf numFmtId="0" fontId="2" fillId="0" borderId="2" xfId="0" applyFont="1" applyBorder="1"/>
    <xf numFmtId="0" fontId="1" fillId="0" borderId="2" xfId="0" applyFont="1" applyBorder="1"/>
    <xf numFmtId="0" fontId="8" fillId="0" borderId="0" xfId="0" applyFont="1" applyBorder="1"/>
    <xf numFmtId="0" fontId="9" fillId="2" borderId="4" xfId="0" applyFont="1" applyFill="1" applyBorder="1" applyAlignment="1">
      <alignment horizontal="centerContinuous"/>
    </xf>
    <xf numFmtId="0" fontId="9" fillId="2" borderId="3" xfId="0" applyFont="1" applyFill="1" applyBorder="1" applyAlignment="1">
      <alignment horizontal="centerContinuous"/>
    </xf>
    <xf numFmtId="0" fontId="3" fillId="0" borderId="0" xfId="0" applyFont="1" applyBorder="1"/>
    <xf numFmtId="174" fontId="3" fillId="0" borderId="0" xfId="0" applyNumberFormat="1" applyFont="1" applyBorder="1"/>
    <xf numFmtId="166" fontId="1" fillId="3" borderId="0" xfId="0" applyNumberFormat="1" applyFont="1" applyFill="1" applyBorder="1"/>
    <xf numFmtId="171" fontId="1" fillId="3" borderId="0" xfId="0" applyNumberFormat="1" applyFont="1" applyFill="1" applyBorder="1"/>
    <xf numFmtId="0" fontId="3" fillId="0" borderId="0" xfId="0" applyFont="1" applyFill="1" applyBorder="1"/>
    <xf numFmtId="174" fontId="3" fillId="0" borderId="0" xfId="0" applyNumberFormat="1" applyFont="1"/>
    <xf numFmtId="175" fontId="1" fillId="3" borderId="0" xfId="0" applyNumberFormat="1" applyFont="1" applyFill="1"/>
    <xf numFmtId="0" fontId="3" fillId="0" borderId="0" xfId="0" applyNumberFormat="1" applyFont="1" applyFill="1" applyBorder="1" applyAlignment="1"/>
    <xf numFmtId="0" fontId="10" fillId="0" borderId="0" xfId="0" applyNumberFormat="1" applyFont="1" applyFill="1" applyBorder="1" applyAlignment="1"/>
    <xf numFmtId="174" fontId="3" fillId="0" borderId="0" xfId="0" applyNumberFormat="1" applyFont="1" applyFill="1" applyBorder="1" applyAlignment="1"/>
    <xf numFmtId="168" fontId="10" fillId="3" borderId="0" xfId="0" applyNumberFormat="1" applyFont="1" applyFill="1" applyBorder="1" applyAlignment="1"/>
    <xf numFmtId="175" fontId="10" fillId="3" borderId="0" xfId="0" applyNumberFormat="1" applyFont="1" applyFill="1" applyBorder="1" applyAlignment="1"/>
    <xf numFmtId="0" fontId="1" fillId="3" borderId="0" xfId="0" applyFont="1" applyFill="1"/>
    <xf numFmtId="174" fontId="1" fillId="3" borderId="1" xfId="0" applyNumberFormat="1" applyFont="1" applyFill="1" applyBorder="1"/>
    <xf numFmtId="168" fontId="1" fillId="3" borderId="1" xfId="0" applyNumberFormat="1" applyFont="1" applyFill="1" applyBorder="1"/>
    <xf numFmtId="175" fontId="1" fillId="3" borderId="1" xfId="0" applyNumberFormat="1" applyFont="1" applyFill="1" applyBorder="1"/>
    <xf numFmtId="0" fontId="1" fillId="3" borderId="1" xfId="0" applyFont="1" applyFill="1" applyBorder="1"/>
    <xf numFmtId="0" fontId="2" fillId="0" borderId="0" xfId="0" applyFont="1" applyBorder="1"/>
    <xf numFmtId="174" fontId="2" fillId="3" borderId="0" xfId="0" applyNumberFormat="1" applyFont="1" applyFill="1" applyBorder="1"/>
    <xf numFmtId="166" fontId="2" fillId="3" borderId="0" xfId="0" applyNumberFormat="1" applyFont="1" applyFill="1" applyBorder="1"/>
    <xf numFmtId="175" fontId="2" fillId="3" borderId="0" xfId="0" applyNumberFormat="1" applyFont="1" applyFill="1" applyBorder="1"/>
    <xf numFmtId="0" fontId="9" fillId="2" borderId="5" xfId="0" applyFont="1" applyFill="1" applyBorder="1" applyAlignment="1">
      <alignment horizontal="centerContinuous"/>
    </xf>
    <xf numFmtId="169" fontId="2" fillId="0" borderId="1" xfId="0" applyNumberFormat="1" applyFont="1" applyBorder="1" applyAlignment="1">
      <alignment horizontal="centerContinuous"/>
    </xf>
    <xf numFmtId="169" fontId="2" fillId="0" borderId="12" xfId="0" applyNumberFormat="1" applyFont="1" applyBorder="1" applyAlignment="1">
      <alignment horizontal="centerContinuous"/>
    </xf>
    <xf numFmtId="0" fontId="2" fillId="0" borderId="0" xfId="0" applyFont="1"/>
    <xf numFmtId="166" fontId="2" fillId="3" borderId="11" xfId="0" applyNumberFormat="1" applyFont="1" applyFill="1" applyBorder="1"/>
    <xf numFmtId="0" fontId="8" fillId="0" borderId="0" xfId="0" applyFont="1"/>
    <xf numFmtId="171" fontId="8" fillId="3" borderId="0" xfId="0" applyNumberFormat="1" applyFont="1" applyFill="1"/>
    <xf numFmtId="171" fontId="8" fillId="3" borderId="11" xfId="0" applyNumberFormat="1" applyFont="1" applyFill="1" applyBorder="1"/>
    <xf numFmtId="0" fontId="1" fillId="0" borderId="11" xfId="0" applyFont="1" applyBorder="1"/>
    <xf numFmtId="0" fontId="8" fillId="0" borderId="11" xfId="0" applyFont="1" applyBorder="1"/>
    <xf numFmtId="0" fontId="2" fillId="0" borderId="0" xfId="0" applyFont="1" applyFill="1" applyBorder="1" applyAlignment="1">
      <alignment horizontal="center"/>
    </xf>
    <xf numFmtId="0" fontId="4" fillId="0" borderId="10" xfId="0" applyFont="1" applyBorder="1" applyAlignment="1">
      <alignment horizontal="centerContinuous"/>
    </xf>
    <xf numFmtId="0" fontId="1" fillId="0" borderId="0" xfId="0" applyFont="1" applyAlignment="1">
      <alignment horizontal="centerContinuous"/>
    </xf>
    <xf numFmtId="170" fontId="2" fillId="0" borderId="0" xfId="0" applyNumberFormat="1" applyFont="1" applyFill="1" applyBorder="1" applyAlignment="1">
      <alignment horizontal="center"/>
    </xf>
    <xf numFmtId="170" fontId="2" fillId="0" borderId="6" xfId="0" applyNumberFormat="1" applyFont="1" applyBorder="1" applyAlignment="1">
      <alignment horizontal="centerContinuous"/>
    </xf>
    <xf numFmtId="166" fontId="1" fillId="0" borderId="0" xfId="0" applyNumberFormat="1" applyFont="1" applyFill="1" applyBorder="1"/>
    <xf numFmtId="166" fontId="1" fillId="3" borderId="10" xfId="0" applyNumberFormat="1" applyFont="1" applyFill="1" applyBorder="1"/>
    <xf numFmtId="168" fontId="1" fillId="3" borderId="10" xfId="0" applyNumberFormat="1" applyFont="1" applyFill="1" applyBorder="1"/>
    <xf numFmtId="176" fontId="1" fillId="0" borderId="0" xfId="0" applyNumberFormat="1" applyFont="1" applyFill="1" applyBorder="1"/>
    <xf numFmtId="0" fontId="11" fillId="0" borderId="9" xfId="0" applyNumberFormat="1" applyFont="1" applyFill="1" applyBorder="1" applyAlignment="1"/>
    <xf numFmtId="0" fontId="11" fillId="0" borderId="8" xfId="0" applyNumberFormat="1" applyFont="1" applyFill="1" applyBorder="1" applyAlignment="1"/>
    <xf numFmtId="0" fontId="11" fillId="0" borderId="3" xfId="0" applyNumberFormat="1" applyFont="1" applyFill="1" applyBorder="1" applyAlignment="1"/>
    <xf numFmtId="166" fontId="11" fillId="3" borderId="4" xfId="0" applyNumberFormat="1" applyFont="1" applyFill="1" applyBorder="1" applyAlignment="1"/>
    <xf numFmtId="166" fontId="11" fillId="3" borderId="8" xfId="0" applyNumberFormat="1" applyFont="1" applyFill="1" applyBorder="1" applyAlignment="1"/>
    <xf numFmtId="166" fontId="11" fillId="3" borderId="13" xfId="0" applyNumberFormat="1" applyFont="1" applyFill="1" applyBorder="1" applyAlignment="1"/>
    <xf numFmtId="0" fontId="2" fillId="0" borderId="12" xfId="0" applyFont="1" applyFill="1" applyBorder="1"/>
    <xf numFmtId="176" fontId="1" fillId="0" borderId="0" xfId="0" applyNumberFormat="1" applyFont="1"/>
    <xf numFmtId="0" fontId="2" fillId="0" borderId="15" xfId="0" applyFont="1" applyBorder="1" applyAlignment="1">
      <alignment horizontal="center"/>
    </xf>
    <xf numFmtId="166" fontId="1" fillId="3" borderId="18" xfId="0" applyNumberFormat="1" applyFont="1" applyFill="1" applyBorder="1"/>
    <xf numFmtId="166" fontId="1" fillId="0" borderId="18" xfId="0" applyNumberFormat="1" applyFont="1" applyBorder="1"/>
    <xf numFmtId="167" fontId="1" fillId="3" borderId="18" xfId="0" applyNumberFormat="1" applyFont="1" applyFill="1" applyBorder="1"/>
    <xf numFmtId="168" fontId="1" fillId="3" borderId="18" xfId="0" applyNumberFormat="1" applyFont="1" applyFill="1" applyBorder="1"/>
    <xf numFmtId="168" fontId="1" fillId="3" borderId="17" xfId="0" applyNumberFormat="1" applyFont="1" applyFill="1" applyBorder="1"/>
    <xf numFmtId="166" fontId="2" fillId="3" borderId="18" xfId="0" applyNumberFormat="1" applyFont="1" applyFill="1" applyBorder="1"/>
    <xf numFmtId="0" fontId="1" fillId="0" borderId="18" xfId="0" applyFont="1" applyBorder="1"/>
    <xf numFmtId="166" fontId="1" fillId="0" borderId="0" xfId="0" applyNumberFormat="1" applyFont="1"/>
    <xf numFmtId="167" fontId="1" fillId="0" borderId="0" xfId="0" applyNumberFormat="1" applyFont="1"/>
    <xf numFmtId="174" fontId="10" fillId="3" borderId="10" xfId="0" applyNumberFormat="1" applyFont="1" applyFill="1" applyBorder="1" applyAlignment="1"/>
    <xf numFmtId="174" fontId="10" fillId="3" borderId="0" xfId="0" applyNumberFormat="1" applyFont="1" applyFill="1" applyBorder="1" applyAlignment="1"/>
    <xf numFmtId="0" fontId="1" fillId="0" borderId="10" xfId="0" applyFont="1" applyBorder="1"/>
    <xf numFmtId="171" fontId="10" fillId="3" borderId="10" xfId="0" applyNumberFormat="1" applyFont="1" applyFill="1" applyBorder="1" applyAlignment="1"/>
    <xf numFmtId="171" fontId="10" fillId="3" borderId="0" xfId="0" applyNumberFormat="1" applyFont="1" applyFill="1" applyBorder="1" applyAlignment="1"/>
    <xf numFmtId="0" fontId="1" fillId="0" borderId="6" xfId="0" applyFont="1" applyBorder="1"/>
    <xf numFmtId="169" fontId="2" fillId="0" borderId="0" xfId="0" applyNumberFormat="1" applyFont="1" applyBorder="1" applyAlignment="1">
      <alignment horizontal="centerContinuous"/>
    </xf>
    <xf numFmtId="169" fontId="2" fillId="0" borderId="14" xfId="0" applyNumberFormat="1" applyFont="1" applyBorder="1" applyAlignment="1">
      <alignment horizontal="centerContinuous"/>
    </xf>
    <xf numFmtId="170" fontId="2" fillId="0" borderId="0" xfId="0" applyNumberFormat="1" applyFont="1" applyBorder="1" applyAlignment="1">
      <alignment horizontal="centerContinuous"/>
    </xf>
    <xf numFmtId="166" fontId="3" fillId="0" borderId="8" xfId="0" applyNumberFormat="1" applyFont="1" applyFill="1" applyBorder="1" applyAlignment="1"/>
    <xf numFmtId="168" fontId="3" fillId="0" borderId="0" xfId="0" applyNumberFormat="1" applyFont="1" applyFill="1" applyBorder="1" applyAlignment="1"/>
    <xf numFmtId="168" fontId="10" fillId="0" borderId="8" xfId="0" applyNumberFormat="1" applyFont="1" applyFill="1" applyBorder="1" applyAlignment="1"/>
    <xf numFmtId="166" fontId="11" fillId="0" borderId="8" xfId="0" applyNumberFormat="1" applyFont="1" applyFill="1" applyBorder="1" applyAlignment="1"/>
    <xf numFmtId="0" fontId="10" fillId="0" borderId="8" xfId="0" applyNumberFormat="1" applyFont="1" applyFill="1" applyBorder="1" applyAlignment="1"/>
    <xf numFmtId="0" fontId="10" fillId="0" borderId="13" xfId="0" applyNumberFormat="1" applyFont="1" applyFill="1" applyBorder="1" applyAlignment="1"/>
    <xf numFmtId="0" fontId="10" fillId="0" borderId="14" xfId="0" applyNumberFormat="1" applyFont="1" applyFill="1" applyBorder="1" applyAlignment="1"/>
    <xf numFmtId="168" fontId="10" fillId="0" borderId="13" xfId="0" applyNumberFormat="1" applyFont="1" applyFill="1" applyBorder="1" applyAlignment="1"/>
    <xf numFmtId="168" fontId="3" fillId="0" borderId="14" xfId="0" applyNumberFormat="1" applyFont="1" applyFill="1" applyBorder="1" applyAlignment="1"/>
    <xf numFmtId="166" fontId="11" fillId="0" borderId="13" xfId="0" applyNumberFormat="1" applyFont="1" applyFill="1" applyBorder="1" applyAlignment="1"/>
    <xf numFmtId="0" fontId="7" fillId="0" borderId="0" xfId="0" applyFont="1" applyBorder="1"/>
    <xf numFmtId="166" fontId="10" fillId="3" borderId="0" xfId="0" applyNumberFormat="1" applyFont="1" applyFill="1" applyBorder="1" applyAlignment="1"/>
    <xf numFmtId="0" fontId="1" fillId="0" borderId="14" xfId="0" applyFont="1" applyBorder="1"/>
    <xf numFmtId="0" fontId="2" fillId="0" borderId="1" xfId="0" applyFont="1" applyFill="1" applyBorder="1"/>
    <xf numFmtId="0" fontId="1" fillId="0" borderId="7" xfId="0" applyFont="1" applyBorder="1"/>
    <xf numFmtId="171" fontId="3" fillId="0" borderId="0" xfId="0" applyNumberFormat="1" applyFont="1" applyBorder="1"/>
    <xf numFmtId="171" fontId="1" fillId="0" borderId="0" xfId="0" applyNumberFormat="1" applyFont="1" applyFill="1" applyBorder="1"/>
    <xf numFmtId="171" fontId="1" fillId="0" borderId="14" xfId="0" applyNumberFormat="1" applyFont="1" applyFill="1" applyBorder="1"/>
    <xf numFmtId="171" fontId="3" fillId="0" borderId="1" xfId="0" applyNumberFormat="1" applyFont="1" applyBorder="1"/>
    <xf numFmtId="0" fontId="1" fillId="0" borderId="8" xfId="0" applyFont="1" applyBorder="1"/>
    <xf numFmtId="0" fontId="4" fillId="0" borderId="9" xfId="0" applyFont="1" applyBorder="1" applyAlignment="1">
      <alignment horizontal="centerContinuous"/>
    </xf>
    <xf numFmtId="0" fontId="4" fillId="0" borderId="13" xfId="0" applyFont="1" applyFill="1" applyBorder="1" applyAlignment="1">
      <alignment horizontal="centerContinuous"/>
    </xf>
    <xf numFmtId="169" fontId="2" fillId="0" borderId="7" xfId="0" applyNumberFormat="1" applyFont="1" applyBorder="1" applyAlignment="1">
      <alignment horizontal="centerContinuous"/>
    </xf>
    <xf numFmtId="0" fontId="2" fillId="0" borderId="10" xfId="0" applyFont="1" applyBorder="1" applyAlignment="1">
      <alignment horizontal="center"/>
    </xf>
    <xf numFmtId="0" fontId="11" fillId="0" borderId="16" xfId="0" applyNumberFormat="1" applyFont="1" applyFill="1" applyBorder="1" applyAlignment="1">
      <alignment horizontal="center"/>
    </xf>
    <xf numFmtId="166" fontId="3" fillId="0" borderId="8" xfId="0" applyNumberFormat="1" applyFont="1" applyBorder="1"/>
    <xf numFmtId="0" fontId="1" fillId="0" borderId="9" xfId="0" applyFont="1" applyBorder="1"/>
    <xf numFmtId="166" fontId="10" fillId="3" borderId="16" xfId="0" applyNumberFormat="1" applyFont="1" applyFill="1" applyBorder="1"/>
    <xf numFmtId="168" fontId="10" fillId="3" borderId="18" xfId="0" applyNumberFormat="1" applyFont="1" applyFill="1" applyBorder="1" applyAlignment="1"/>
    <xf numFmtId="168" fontId="3" fillId="0" borderId="0" xfId="0" applyNumberFormat="1" applyFont="1" applyBorder="1"/>
    <xf numFmtId="168" fontId="10" fillId="3" borderId="18" xfId="0" applyNumberFormat="1" applyFont="1" applyFill="1" applyBorder="1"/>
    <xf numFmtId="168" fontId="1" fillId="0" borderId="0" xfId="0" applyNumberFormat="1" applyFont="1" applyBorder="1"/>
    <xf numFmtId="168" fontId="3" fillId="0" borderId="1" xfId="0" applyNumberFormat="1" applyFont="1" applyBorder="1"/>
    <xf numFmtId="168" fontId="10" fillId="3" borderId="17" xfId="0" applyNumberFormat="1" applyFont="1" applyFill="1" applyBorder="1"/>
    <xf numFmtId="168" fontId="1" fillId="0" borderId="1" xfId="0" applyNumberFormat="1" applyFont="1" applyBorder="1"/>
    <xf numFmtId="168" fontId="2" fillId="0" borderId="0" xfId="0" applyNumberFormat="1" applyFont="1" applyBorder="1"/>
    <xf numFmtId="168" fontId="2" fillId="0" borderId="14" xfId="0" applyNumberFormat="1" applyFont="1" applyBorder="1"/>
    <xf numFmtId="0" fontId="2" fillId="0" borderId="10" xfId="0" applyFont="1" applyBorder="1"/>
    <xf numFmtId="168" fontId="11" fillId="3" borderId="18" xfId="0" applyNumberFormat="1" applyFont="1" applyFill="1" applyBorder="1"/>
    <xf numFmtId="168" fontId="3" fillId="0" borderId="14" xfId="0" applyNumberFormat="1" applyFont="1" applyBorder="1"/>
    <xf numFmtId="167" fontId="3" fillId="0" borderId="0" xfId="0" applyNumberFormat="1" applyFont="1" applyBorder="1"/>
    <xf numFmtId="167" fontId="3" fillId="0" borderId="14" xfId="0" applyNumberFormat="1" applyFont="1" applyBorder="1"/>
    <xf numFmtId="166" fontId="11" fillId="0" borderId="3" xfId="0" applyNumberFormat="1" applyFont="1" applyBorder="1"/>
    <xf numFmtId="166" fontId="11" fillId="0" borderId="5" xfId="0" applyNumberFormat="1" applyFont="1" applyBorder="1"/>
    <xf numFmtId="166" fontId="11" fillId="3" borderId="15" xfId="0" applyNumberFormat="1" applyFont="1" applyFill="1" applyBorder="1"/>
    <xf numFmtId="168" fontId="2" fillId="0" borderId="13" xfId="0" applyNumberFormat="1" applyFont="1" applyBorder="1"/>
    <xf numFmtId="0" fontId="3" fillId="0" borderId="14" xfId="0" applyFont="1" applyBorder="1"/>
    <xf numFmtId="0" fontId="3" fillId="0" borderId="18" xfId="0" applyFont="1" applyBorder="1"/>
    <xf numFmtId="167" fontId="3" fillId="0" borderId="1" xfId="0" applyNumberFormat="1" applyFont="1" applyBorder="1"/>
    <xf numFmtId="167" fontId="3" fillId="0" borderId="7" xfId="0" applyNumberFormat="1" applyFont="1" applyBorder="1"/>
    <xf numFmtId="168" fontId="1" fillId="3" borderId="6" xfId="0" applyNumberFormat="1" applyFont="1" applyFill="1" applyBorder="1"/>
    <xf numFmtId="167" fontId="2" fillId="0" borderId="0" xfId="0" applyNumberFormat="1" applyFont="1" applyBorder="1"/>
    <xf numFmtId="167" fontId="2" fillId="0" borderId="14" xfId="0" applyNumberFormat="1" applyFont="1" applyBorder="1"/>
    <xf numFmtId="166" fontId="2" fillId="0" borderId="3" xfId="0" applyNumberFormat="1" applyFont="1" applyBorder="1"/>
    <xf numFmtId="166" fontId="2" fillId="0" borderId="5" xfId="0" applyNumberFormat="1" applyFont="1" applyBorder="1"/>
    <xf numFmtId="167" fontId="1" fillId="0" borderId="0" xfId="0" applyNumberFormat="1" applyFont="1" applyBorder="1"/>
    <xf numFmtId="167" fontId="1" fillId="3" borderId="0" xfId="0" applyNumberFormat="1" applyFont="1" applyFill="1" applyBorder="1"/>
    <xf numFmtId="167" fontId="1" fillId="3" borderId="14" xfId="0" applyNumberFormat="1" applyFont="1" applyFill="1" applyBorder="1"/>
    <xf numFmtId="167" fontId="10" fillId="3" borderId="18" xfId="0" applyNumberFormat="1" applyFont="1" applyFill="1" applyBorder="1"/>
    <xf numFmtId="0" fontId="2" fillId="0" borderId="18" xfId="0" applyFont="1" applyBorder="1"/>
    <xf numFmtId="0" fontId="1" fillId="0" borderId="17" xfId="0" applyFont="1" applyBorder="1"/>
    <xf numFmtId="168" fontId="1" fillId="0" borderId="14" xfId="0" applyNumberFormat="1" applyFont="1" applyBorder="1"/>
    <xf numFmtId="0" fontId="1" fillId="0" borderId="13" xfId="0" applyFont="1" applyBorder="1"/>
    <xf numFmtId="168" fontId="1" fillId="0" borderId="7" xfId="0" applyNumberFormat="1" applyFont="1" applyBorder="1"/>
    <xf numFmtId="0" fontId="2" fillId="0" borderId="14" xfId="0" applyFont="1" applyBorder="1"/>
    <xf numFmtId="0" fontId="2" fillId="0" borderId="7" xfId="0" applyFont="1" applyBorder="1"/>
    <xf numFmtId="173" fontId="10" fillId="0" borderId="0" xfId="0" applyNumberFormat="1" applyFont="1" applyBorder="1"/>
    <xf numFmtId="173" fontId="10" fillId="0" borderId="13" xfId="0" applyNumberFormat="1" applyFont="1" applyBorder="1"/>
    <xf numFmtId="173" fontId="3" fillId="0" borderId="16" xfId="0" applyNumberFormat="1" applyFont="1" applyBorder="1"/>
    <xf numFmtId="173" fontId="3" fillId="0" borderId="8" xfId="0" applyNumberFormat="1" applyFont="1" applyBorder="1"/>
    <xf numFmtId="173" fontId="3" fillId="0" borderId="0" xfId="0" applyNumberFormat="1" applyFont="1" applyBorder="1"/>
    <xf numFmtId="174" fontId="10" fillId="0" borderId="0" xfId="0" applyNumberFormat="1" applyFont="1" applyBorder="1"/>
    <xf numFmtId="174" fontId="10" fillId="0" borderId="14" xfId="0" applyNumberFormat="1" applyFont="1" applyBorder="1"/>
    <xf numFmtId="174" fontId="3" fillId="0" borderId="18" xfId="0" applyNumberFormat="1" applyFont="1" applyBorder="1"/>
    <xf numFmtId="171" fontId="10" fillId="0" borderId="0" xfId="0" applyNumberFormat="1" applyFont="1" applyBorder="1"/>
    <xf numFmtId="171" fontId="10" fillId="0" borderId="14" xfId="0" applyNumberFormat="1" applyFont="1" applyBorder="1"/>
    <xf numFmtId="171" fontId="3" fillId="0" borderId="18" xfId="0" applyNumberFormat="1" applyFont="1" applyBorder="1"/>
    <xf numFmtId="0" fontId="10" fillId="0" borderId="0" xfId="0" applyFont="1" applyBorder="1"/>
    <xf numFmtId="0" fontId="10" fillId="0" borderId="14" xfId="0" applyFont="1" applyBorder="1"/>
    <xf numFmtId="173" fontId="10" fillId="0" borderId="14" xfId="0" applyNumberFormat="1" applyFont="1" applyBorder="1"/>
    <xf numFmtId="173" fontId="3" fillId="0" borderId="18" xfId="0" applyNumberFormat="1" applyFont="1" applyBorder="1"/>
    <xf numFmtId="166" fontId="1" fillId="0" borderId="0" xfId="0" applyNumberFormat="1" applyFont="1" applyBorder="1"/>
    <xf numFmtId="166" fontId="1" fillId="0" borderId="14" xfId="0" applyNumberFormat="1" applyFont="1" applyBorder="1"/>
    <xf numFmtId="166" fontId="1" fillId="0" borderId="10" xfId="0" applyNumberFormat="1" applyFont="1" applyBorder="1"/>
    <xf numFmtId="171" fontId="1" fillId="0" borderId="1" xfId="0" applyNumberFormat="1" applyFont="1" applyBorder="1"/>
    <xf numFmtId="171" fontId="1" fillId="0" borderId="7" xfId="0" applyNumberFormat="1" applyFont="1" applyBorder="1"/>
    <xf numFmtId="171" fontId="1" fillId="0" borderId="17" xfId="0" applyNumberFormat="1" applyFont="1" applyBorder="1"/>
    <xf numFmtId="0" fontId="5" fillId="0" borderId="0" xfId="0" applyFont="1" applyAlignment="1">
      <alignment horizontal="centerContinuous"/>
    </xf>
    <xf numFmtId="0" fontId="2" fillId="0" borderId="4" xfId="0" applyFont="1" applyFill="1" applyBorder="1"/>
    <xf numFmtId="0" fontId="2" fillId="0" borderId="3" xfId="0" applyFont="1" applyFill="1" applyBorder="1"/>
    <xf numFmtId="166" fontId="2" fillId="0" borderId="3" xfId="0" applyNumberFormat="1" applyFont="1" applyFill="1" applyBorder="1"/>
    <xf numFmtId="166" fontId="2" fillId="0" borderId="0" xfId="0" applyNumberFormat="1" applyFont="1" applyBorder="1"/>
    <xf numFmtId="166" fontId="1" fillId="3" borderId="1" xfId="0" applyNumberFormat="1" applyFont="1" applyFill="1" applyBorder="1"/>
    <xf numFmtId="165" fontId="2" fillId="0" borderId="0" xfId="0" applyNumberFormat="1" applyFont="1" applyBorder="1"/>
    <xf numFmtId="178" fontId="3" fillId="0" borderId="0" xfId="0" applyNumberFormat="1" applyFont="1" applyBorder="1" applyAlignment="1">
      <alignment horizontal="right"/>
    </xf>
    <xf numFmtId="178" fontId="1" fillId="0" borderId="0" xfId="0" applyNumberFormat="1" applyFont="1" applyBorder="1" applyAlignment="1">
      <alignment horizontal="right"/>
    </xf>
    <xf numFmtId="166" fontId="1" fillId="3" borderId="15" xfId="0" applyNumberFormat="1" applyFont="1" applyFill="1" applyBorder="1"/>
    <xf numFmtId="166" fontId="1" fillId="3" borderId="15" xfId="0" applyNumberFormat="1" applyFont="1" applyFill="1" applyBorder="1" applyAlignment="1">
      <alignment horizontal="center"/>
    </xf>
    <xf numFmtId="172" fontId="3" fillId="0" borderId="17" xfId="0" applyNumberFormat="1" applyFont="1" applyBorder="1" applyAlignment="1">
      <alignment horizontal="center"/>
    </xf>
    <xf numFmtId="172" fontId="3" fillId="0" borderId="15" xfId="0" applyNumberFormat="1" applyFont="1" applyBorder="1" applyAlignment="1">
      <alignment horizontal="center"/>
    </xf>
    <xf numFmtId="171" fontId="3" fillId="0" borderId="15" xfId="0" applyNumberFormat="1" applyFont="1" applyFill="1" applyBorder="1" applyAlignment="1">
      <alignment horizontal="center"/>
    </xf>
    <xf numFmtId="166" fontId="1" fillId="3" borderId="16" xfId="0" applyNumberFormat="1" applyFont="1" applyFill="1" applyBorder="1"/>
    <xf numFmtId="166" fontId="1" fillId="3" borderId="8" xfId="0" applyNumberFormat="1" applyFont="1" applyFill="1" applyBorder="1"/>
    <xf numFmtId="168" fontId="10" fillId="3" borderId="8" xfId="0" applyNumberFormat="1" applyFont="1" applyFill="1" applyBorder="1" applyAlignment="1"/>
    <xf numFmtId="164" fontId="3" fillId="0" borderId="15" xfId="0" applyNumberFormat="1" applyFont="1" applyBorder="1" applyAlignment="1">
      <alignment horizontal="center"/>
    </xf>
    <xf numFmtId="0" fontId="3" fillId="0" borderId="5" xfId="0" applyFont="1" applyBorder="1" applyAlignment="1">
      <alignment horizontal="center"/>
    </xf>
    <xf numFmtId="171" fontId="3" fillId="0" borderId="15" xfId="0" applyNumberFormat="1" applyFont="1" applyBorder="1" applyAlignment="1">
      <alignment horizontal="center"/>
    </xf>
    <xf numFmtId="0" fontId="2" fillId="0" borderId="8" xfId="0" applyFont="1" applyBorder="1"/>
    <xf numFmtId="166" fontId="3" fillId="0" borderId="0" xfId="0" applyNumberFormat="1" applyFont="1" applyFill="1" applyBorder="1" applyAlignment="1"/>
    <xf numFmtId="166" fontId="3" fillId="0" borderId="14" xfId="0" applyNumberFormat="1" applyFont="1" applyFill="1" applyBorder="1" applyAlignment="1"/>
    <xf numFmtId="171" fontId="10" fillId="0" borderId="1" xfId="0" applyNumberFormat="1" applyFont="1" applyBorder="1"/>
    <xf numFmtId="171" fontId="10" fillId="0" borderId="7" xfId="0" applyNumberFormat="1" applyFont="1" applyBorder="1"/>
    <xf numFmtId="166" fontId="3" fillId="0" borderId="13" xfId="0" applyNumberFormat="1" applyFont="1" applyFill="1" applyBorder="1" applyAlignment="1"/>
    <xf numFmtId="166" fontId="10" fillId="3" borderId="8" xfId="0" applyNumberFormat="1" applyFont="1" applyFill="1" applyBorder="1" applyAlignment="1"/>
    <xf numFmtId="168" fontId="10" fillId="3" borderId="1" xfId="0" applyNumberFormat="1" applyFont="1" applyFill="1" applyBorder="1" applyAlignment="1"/>
    <xf numFmtId="166" fontId="11" fillId="3" borderId="3" xfId="0" applyNumberFormat="1" applyFont="1" applyFill="1" applyBorder="1" applyAlignment="1"/>
    <xf numFmtId="166" fontId="11" fillId="3" borderId="5" xfId="0" applyNumberFormat="1" applyFont="1" applyFill="1" applyBorder="1" applyAlignment="1"/>
    <xf numFmtId="168" fontId="1" fillId="3" borderId="14" xfId="0" applyNumberFormat="1" applyFont="1" applyFill="1" applyBorder="1"/>
    <xf numFmtId="168" fontId="1" fillId="3" borderId="7" xfId="0" applyNumberFormat="1" applyFont="1" applyFill="1" applyBorder="1"/>
    <xf numFmtId="168" fontId="2" fillId="3" borderId="0" xfId="0" applyNumberFormat="1" applyFont="1" applyFill="1" applyBorder="1"/>
    <xf numFmtId="0" fontId="1" fillId="3" borderId="0" xfId="0" applyFont="1" applyFill="1" applyBorder="1"/>
    <xf numFmtId="166" fontId="11" fillId="3" borderId="3" xfId="0" applyNumberFormat="1" applyFont="1" applyFill="1" applyBorder="1"/>
    <xf numFmtId="166" fontId="11" fillId="3" borderId="5" xfId="0" applyNumberFormat="1" applyFont="1" applyFill="1" applyBorder="1"/>
    <xf numFmtId="168" fontId="2" fillId="3" borderId="8" xfId="0" applyNumberFormat="1" applyFont="1" applyFill="1" applyBorder="1"/>
    <xf numFmtId="167" fontId="10" fillId="0" borderId="8" xfId="0" applyNumberFormat="1" applyFont="1" applyFill="1" applyBorder="1" applyAlignment="1"/>
    <xf numFmtId="166" fontId="10" fillId="0" borderId="0" xfId="0" applyNumberFormat="1" applyFont="1" applyFill="1" applyBorder="1" applyAlignment="1"/>
    <xf numFmtId="166" fontId="3" fillId="3" borderId="0" xfId="0" applyNumberFormat="1" applyFont="1" applyFill="1" applyBorder="1"/>
    <xf numFmtId="166" fontId="1" fillId="3" borderId="0" xfId="0" applyNumberFormat="1" applyFont="1" applyFill="1" applyBorder="1" applyAlignment="1">
      <alignment horizontal="right"/>
    </xf>
    <xf numFmtId="166" fontId="1" fillId="3" borderId="0" xfId="0" applyNumberFormat="1" applyFont="1" applyFill="1" applyAlignment="1">
      <alignment horizontal="right"/>
    </xf>
    <xf numFmtId="168" fontId="1" fillId="3" borderId="0" xfId="0" applyNumberFormat="1" applyFont="1" applyFill="1" applyBorder="1" applyAlignment="1">
      <alignment horizontal="right"/>
    </xf>
    <xf numFmtId="168" fontId="1" fillId="3" borderId="0" xfId="0" applyNumberFormat="1" applyFont="1" applyFill="1" applyAlignment="1">
      <alignment horizontal="right"/>
    </xf>
    <xf numFmtId="171" fontId="1" fillId="3" borderId="15" xfId="0" applyNumberFormat="1" applyFont="1" applyFill="1" applyBorder="1" applyAlignment="1">
      <alignment horizontal="center"/>
    </xf>
    <xf numFmtId="174" fontId="3" fillId="0" borderId="0" xfId="0" applyNumberFormat="1" applyFont="1" applyFill="1"/>
    <xf numFmtId="0" fontId="1" fillId="0" borderId="0" xfId="0" applyFont="1" applyAlignment="1">
      <alignment horizontal="left"/>
    </xf>
    <xf numFmtId="174" fontId="1" fillId="3" borderId="0" xfId="0" applyNumberFormat="1" applyFont="1" applyFill="1" applyBorder="1"/>
    <xf numFmtId="165" fontId="1" fillId="3" borderId="0" xfId="0" applyNumberFormat="1" applyFont="1" applyFill="1"/>
    <xf numFmtId="168" fontId="1" fillId="3" borderId="16" xfId="0" applyNumberFormat="1" applyFont="1" applyFill="1" applyBorder="1"/>
    <xf numFmtId="168" fontId="1" fillId="3" borderId="8" xfId="0" applyNumberFormat="1" applyFont="1" applyFill="1" applyBorder="1"/>
    <xf numFmtId="168" fontId="1" fillId="3" borderId="13" xfId="0" applyNumberFormat="1" applyFont="1" applyFill="1" applyBorder="1"/>
    <xf numFmtId="179" fontId="1" fillId="3" borderId="0" xfId="0" applyNumberFormat="1" applyFont="1" applyFill="1" applyBorder="1" applyAlignment="1">
      <alignment horizontal="center"/>
    </xf>
    <xf numFmtId="174" fontId="1" fillId="3" borderId="0" xfId="0" applyNumberFormat="1" applyFont="1" applyFill="1" applyAlignment="1">
      <alignment horizontal="center"/>
    </xf>
    <xf numFmtId="168" fontId="10" fillId="0" borderId="0" xfId="0" applyNumberFormat="1" applyFont="1" applyFill="1" applyBorder="1"/>
    <xf numFmtId="171" fontId="1" fillId="0" borderId="0" xfId="0" applyNumberFormat="1" applyFont="1"/>
    <xf numFmtId="180" fontId="1" fillId="0" borderId="0" xfId="0" applyNumberFormat="1" applyFont="1"/>
    <xf numFmtId="166" fontId="3" fillId="0" borderId="0" xfId="0" applyNumberFormat="1" applyFont="1" applyFill="1" applyBorder="1"/>
    <xf numFmtId="166" fontId="1" fillId="0" borderId="0" xfId="0" applyNumberFormat="1" applyFont="1" applyFill="1"/>
    <xf numFmtId="0" fontId="1" fillId="4" borderId="0" xfId="0" applyFont="1" applyFill="1" applyAlignment="1">
      <alignment horizontal="center"/>
    </xf>
    <xf numFmtId="0" fontId="1" fillId="0" borderId="0" xfId="0" quotePrefix="1" applyFont="1"/>
    <xf numFmtId="0" fontId="15" fillId="0" borderId="0" xfId="0" applyFont="1"/>
    <xf numFmtId="0" fontId="8" fillId="0" borderId="0" xfId="0" applyFont="1" applyAlignment="1">
      <alignment horizontal="left" indent="1"/>
    </xf>
    <xf numFmtId="171" fontId="8" fillId="3" borderId="0" xfId="0" applyNumberFormat="1" applyFont="1" applyFill="1" applyBorder="1"/>
    <xf numFmtId="176" fontId="1" fillId="0" borderId="0" xfId="0" applyNumberFormat="1" applyFont="1" applyBorder="1"/>
    <xf numFmtId="166" fontId="2" fillId="3" borderId="14" xfId="0" applyNumberFormat="1" applyFont="1" applyFill="1" applyBorder="1"/>
    <xf numFmtId="171" fontId="8" fillId="3" borderId="14" xfId="0" applyNumberFormat="1" applyFont="1" applyFill="1" applyBorder="1"/>
    <xf numFmtId="0" fontId="8" fillId="0" borderId="14" xfId="0" applyFont="1" applyBorder="1"/>
    <xf numFmtId="0" fontId="2" fillId="0" borderId="14" xfId="0" applyFont="1" applyFill="1" applyBorder="1" applyAlignment="1">
      <alignment horizontal="center"/>
    </xf>
    <xf numFmtId="170" fontId="2" fillId="0" borderId="14" xfId="0" applyNumberFormat="1" applyFont="1" applyFill="1" applyBorder="1" applyAlignment="1">
      <alignment horizontal="center"/>
    </xf>
    <xf numFmtId="166" fontId="1" fillId="0" borderId="14" xfId="0" applyNumberFormat="1" applyFont="1" applyFill="1" applyBorder="1"/>
    <xf numFmtId="0" fontId="1" fillId="0" borderId="14" xfId="0" applyFont="1" applyFill="1" applyBorder="1"/>
    <xf numFmtId="176" fontId="1" fillId="0" borderId="14" xfId="0" applyNumberFormat="1" applyFont="1" applyFill="1" applyBorder="1"/>
    <xf numFmtId="0" fontId="11" fillId="0" borderId="5" xfId="0" applyNumberFormat="1" applyFont="1" applyFill="1" applyBorder="1" applyAlignment="1"/>
    <xf numFmtId="0" fontId="2" fillId="0" borderId="7" xfId="0" applyFont="1" applyFill="1" applyBorder="1"/>
    <xf numFmtId="174" fontId="10" fillId="3" borderId="18" xfId="0" applyNumberFormat="1" applyFont="1" applyFill="1" applyBorder="1" applyAlignment="1"/>
    <xf numFmtId="0" fontId="11" fillId="0" borderId="4" xfId="0" applyNumberFormat="1" applyFont="1" applyFill="1" applyBorder="1" applyAlignment="1"/>
    <xf numFmtId="166" fontId="1" fillId="0" borderId="18" xfId="0" applyNumberFormat="1" applyFont="1" applyFill="1" applyBorder="1"/>
    <xf numFmtId="181" fontId="1" fillId="0" borderId="0" xfId="0" applyNumberFormat="1" applyFont="1" applyBorder="1"/>
    <xf numFmtId="168" fontId="3" fillId="4" borderId="14" xfId="0" applyNumberFormat="1" applyFont="1" applyFill="1" applyBorder="1"/>
    <xf numFmtId="166" fontId="3" fillId="4" borderId="8" xfId="0" applyNumberFormat="1" applyFont="1" applyFill="1" applyBorder="1"/>
    <xf numFmtId="168" fontId="1" fillId="4" borderId="0" xfId="0" applyNumberFormat="1" applyFont="1" applyFill="1"/>
    <xf numFmtId="168" fontId="1" fillId="4" borderId="0" xfId="0" applyNumberFormat="1" applyFont="1" applyFill="1" applyBorder="1"/>
    <xf numFmtId="166" fontId="1" fillId="4" borderId="0" xfId="0" applyNumberFormat="1" applyFont="1" applyFill="1" applyBorder="1"/>
    <xf numFmtId="182" fontId="16" fillId="3" borderId="0" xfId="0" applyNumberFormat="1" applyFont="1" applyFill="1" applyBorder="1"/>
    <xf numFmtId="168" fontId="3" fillId="3" borderId="0" xfId="0" applyNumberFormat="1" applyFont="1" applyFill="1" applyBorder="1"/>
    <xf numFmtId="0" fontId="1" fillId="0" borderId="5" xfId="0" applyFont="1" applyBorder="1"/>
    <xf numFmtId="166" fontId="1" fillId="4" borderId="8" xfId="0" applyNumberFormat="1" applyFont="1" applyFill="1" applyBorder="1"/>
    <xf numFmtId="179" fontId="1" fillId="0" borderId="0" xfId="0" applyNumberFormat="1" applyFont="1"/>
    <xf numFmtId="166" fontId="2" fillId="4" borderId="8" xfId="0" applyNumberFormat="1" applyFont="1" applyFill="1" applyBorder="1"/>
    <xf numFmtId="168" fontId="1" fillId="4" borderId="1" xfId="0" applyNumberFormat="1" applyFont="1" applyFill="1" applyBorder="1"/>
    <xf numFmtId="166" fontId="2" fillId="4" borderId="0" xfId="0" applyNumberFormat="1" applyFont="1" applyFill="1" applyBorder="1"/>
    <xf numFmtId="166" fontId="1" fillId="4" borderId="0" xfId="0" applyNumberFormat="1" applyFont="1" applyFill="1"/>
    <xf numFmtId="174" fontId="10" fillId="4" borderId="0" xfId="0" applyNumberFormat="1" applyFont="1" applyFill="1" applyBorder="1"/>
    <xf numFmtId="168" fontId="3" fillId="0" borderId="7" xfId="0" applyNumberFormat="1" applyFont="1" applyBorder="1"/>
  </cellXfs>
  <cellStyles count="1">
    <cellStyle name="Normal" xfId="0" builtinId="0"/>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86CD-20A3-4519-9208-2694B9FD4CC7}">
  <dimension ref="A2:X342"/>
  <sheetViews>
    <sheetView showGridLines="0" tabSelected="1" zoomScale="115" zoomScaleNormal="115" zoomScaleSheetLayoutView="85" workbookViewId="0"/>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21" ht="12.95" customHeight="1" x14ac:dyDescent="0.2">
      <c r="B17" s="4"/>
      <c r="C17" s="4"/>
      <c r="D17" s="4"/>
      <c r="E17" s="4"/>
      <c r="F17" s="4"/>
      <c r="G17" s="4"/>
      <c r="H17" s="4"/>
      <c r="I17" s="4"/>
      <c r="J17" s="4"/>
      <c r="K17" s="4"/>
      <c r="L17" s="4"/>
      <c r="M17" s="4"/>
      <c r="N17" s="4"/>
      <c r="O17" s="4"/>
    </row>
    <row r="18" spans="2:21" ht="12.95" customHeight="1" x14ac:dyDescent="0.2">
      <c r="B18" s="24" t="s">
        <v>143</v>
      </c>
      <c r="F18" s="25"/>
      <c r="G18" s="25"/>
      <c r="H18" s="44" t="s">
        <v>144</v>
      </c>
      <c r="I18" s="25"/>
      <c r="J18" s="25"/>
      <c r="K18" s="25"/>
      <c r="L18" s="25"/>
      <c r="M18" s="25"/>
    </row>
    <row r="19" spans="2:21" ht="12.95" customHeight="1" x14ac:dyDescent="0.2">
      <c r="B19" s="25" t="s">
        <v>127</v>
      </c>
      <c r="C19" s="25"/>
      <c r="D19" s="25"/>
      <c r="E19" s="15"/>
      <c r="F19" s="25"/>
      <c r="G19" s="25"/>
      <c r="H19" s="25" t="s">
        <v>200</v>
      </c>
      <c r="I19" s="25"/>
      <c r="J19" s="25"/>
      <c r="K19" s="25"/>
      <c r="L19" s="25"/>
      <c r="M19" s="251">
        <v>10</v>
      </c>
      <c r="Q19" s="267" t="s">
        <v>216</v>
      </c>
    </row>
    <row r="20" spans="2:21" ht="12.95" customHeight="1" x14ac:dyDescent="0.2">
      <c r="B20" s="27" t="s">
        <v>206</v>
      </c>
      <c r="C20" s="27"/>
      <c r="D20" s="27"/>
      <c r="E20" s="28">
        <v>10</v>
      </c>
      <c r="F20" s="25"/>
      <c r="G20" s="25"/>
      <c r="H20" s="44"/>
      <c r="I20" s="25"/>
      <c r="J20" s="25"/>
      <c r="K20" s="25"/>
      <c r="L20" s="25"/>
      <c r="M20" s="25"/>
    </row>
    <row r="21" spans="2:21" ht="12.95" customHeight="1" x14ac:dyDescent="0.2">
      <c r="B21" s="30" t="s">
        <v>128</v>
      </c>
      <c r="C21" s="30"/>
      <c r="D21" s="30"/>
      <c r="E21" s="31"/>
      <c r="F21" s="25"/>
      <c r="G21" s="25"/>
      <c r="H21" s="25" t="s">
        <v>129</v>
      </c>
      <c r="I21" s="25"/>
      <c r="J21" s="25"/>
      <c r="K21" s="25"/>
      <c r="L21" s="25"/>
      <c r="M21" s="45">
        <v>0.04</v>
      </c>
      <c r="Q21" s="267" t="s">
        <v>217</v>
      </c>
    </row>
    <row r="22" spans="2:21" ht="12.95" customHeight="1" x14ac:dyDescent="0.2">
      <c r="B22" s="33" t="s">
        <v>131</v>
      </c>
      <c r="C22" s="33"/>
      <c r="D22" s="33"/>
      <c r="E22" s="16"/>
      <c r="F22" s="25"/>
      <c r="G22" s="25"/>
      <c r="H22" s="25" t="s">
        <v>130</v>
      </c>
      <c r="I22" s="25"/>
      <c r="J22" s="25"/>
      <c r="K22" s="25"/>
      <c r="L22" s="25"/>
      <c r="M22" s="45">
        <v>0.02</v>
      </c>
      <c r="Q22" s="267" t="s">
        <v>218</v>
      </c>
    </row>
    <row r="23" spans="2:21" ht="12.95" customHeight="1" x14ac:dyDescent="0.2">
      <c r="B23" s="33" t="s">
        <v>132</v>
      </c>
      <c r="C23" s="33"/>
      <c r="D23" s="33"/>
      <c r="E23" s="35"/>
      <c r="F23" s="25"/>
      <c r="G23" s="25"/>
      <c r="Q23" s="267" t="s">
        <v>219</v>
      </c>
    </row>
    <row r="24" spans="2:21" ht="12.95" customHeight="1" x14ac:dyDescent="0.2">
      <c r="B24" s="36" t="s">
        <v>133</v>
      </c>
      <c r="C24" s="36"/>
      <c r="D24" s="36"/>
      <c r="E24" s="37"/>
      <c r="F24" s="25"/>
      <c r="G24" s="25"/>
      <c r="H24" s="1" t="s">
        <v>137</v>
      </c>
      <c r="M24" s="264">
        <f>+E19</f>
        <v>0</v>
      </c>
      <c r="Q24" s="267" t="s">
        <v>220</v>
      </c>
    </row>
    <row r="25" spans="2:21" ht="12.95" customHeight="1" x14ac:dyDescent="0.2">
      <c r="F25" s="25"/>
      <c r="G25" s="25"/>
    </row>
    <row r="26" spans="2:21" ht="12.95" customHeight="1" x14ac:dyDescent="0.2">
      <c r="B26" s="24" t="s">
        <v>142</v>
      </c>
      <c r="H26" s="1" t="s">
        <v>138</v>
      </c>
      <c r="M26" s="263">
        <v>100</v>
      </c>
    </row>
    <row r="27" spans="2:21" ht="12.95" customHeight="1" x14ac:dyDescent="0.2">
      <c r="B27" s="1" t="s">
        <v>139</v>
      </c>
      <c r="E27" s="15"/>
      <c r="Q27" s="267" t="s">
        <v>221</v>
      </c>
    </row>
    <row r="28" spans="2:21" ht="12.95" customHeight="1" x14ac:dyDescent="0.2">
      <c r="B28" s="4" t="s">
        <v>140</v>
      </c>
      <c r="C28" s="4"/>
      <c r="D28" s="4"/>
      <c r="E28" s="35"/>
      <c r="H28" s="1" t="s">
        <v>215</v>
      </c>
      <c r="M28" s="45">
        <v>0.1</v>
      </c>
      <c r="Q28" s="267" t="s">
        <v>310</v>
      </c>
    </row>
    <row r="29" spans="2:21" ht="12.95" customHeight="1" x14ac:dyDescent="0.2">
      <c r="B29" s="36" t="s">
        <v>141</v>
      </c>
      <c r="C29" s="36"/>
      <c r="D29" s="36"/>
      <c r="E29" s="37"/>
      <c r="Q29" s="267" t="s">
        <v>312</v>
      </c>
    </row>
    <row r="31" spans="2:21" ht="12.95" customHeight="1" x14ac:dyDescent="0.2">
      <c r="F31" s="24" t="s">
        <v>151</v>
      </c>
      <c r="U31" s="262"/>
    </row>
    <row r="32" spans="2:21" ht="12.95" customHeight="1" x14ac:dyDescent="0.35">
      <c r="I32" s="26" t="s">
        <v>155</v>
      </c>
      <c r="K32" s="10" t="str">
        <f>+"Fiscal Year Ended "&amp;TEXT(E8,"MM/DD")</f>
        <v>Fiscal Year Ended 12/31</v>
      </c>
      <c r="L32" s="11"/>
      <c r="M32" s="11"/>
      <c r="N32" s="11"/>
      <c r="O32" s="11"/>
    </row>
    <row r="33" spans="1:21" ht="12.95" customHeight="1" x14ac:dyDescent="0.2">
      <c r="H33" s="29" t="s">
        <v>152</v>
      </c>
      <c r="I33" s="29" t="s">
        <v>154</v>
      </c>
      <c r="J33" s="29" t="s">
        <v>153</v>
      </c>
      <c r="K33" s="13">
        <f>+$K$103</f>
        <v>2020</v>
      </c>
      <c r="L33" s="13">
        <f>+$L$103</f>
        <v>2021</v>
      </c>
      <c r="M33" s="13">
        <f>+$M$103</f>
        <v>2022</v>
      </c>
      <c r="N33" s="13">
        <f>+$N$103</f>
        <v>2023</v>
      </c>
      <c r="O33" s="13">
        <f>+$O$103</f>
        <v>2024</v>
      </c>
    </row>
    <row r="34" spans="1:21" ht="12.95" customHeight="1" x14ac:dyDescent="0.2">
      <c r="F34" s="1" t="str">
        <f>+B48</f>
        <v>Revolving Credit Facility</v>
      </c>
      <c r="H34" s="32">
        <v>5</v>
      </c>
      <c r="I34" s="246"/>
      <c r="J34" s="246"/>
      <c r="K34" s="247"/>
      <c r="L34" s="247"/>
      <c r="M34" s="247"/>
      <c r="N34" s="247"/>
      <c r="O34" s="247"/>
    </row>
    <row r="35" spans="1:21" ht="12.95" customHeight="1" x14ac:dyDescent="0.2">
      <c r="F35" s="1" t="str">
        <f>+B49</f>
        <v>First Lien Term Loan</v>
      </c>
      <c r="H35" s="34">
        <v>5</v>
      </c>
      <c r="I35" s="248"/>
      <c r="J35" s="249"/>
      <c r="K35" s="249"/>
      <c r="L35" s="249"/>
      <c r="M35" s="249"/>
      <c r="N35" s="249"/>
      <c r="O35" s="249"/>
    </row>
    <row r="36" spans="1:21" ht="12.95" customHeight="1" x14ac:dyDescent="0.2">
      <c r="F36" s="1" t="str">
        <f>+B50</f>
        <v>Second Lien Term Loan</v>
      </c>
      <c r="G36" s="25"/>
      <c r="H36" s="34">
        <v>7</v>
      </c>
      <c r="I36" s="248"/>
      <c r="J36" s="249"/>
      <c r="K36" s="249"/>
      <c r="L36" s="249"/>
      <c r="M36" s="249"/>
      <c r="N36" s="249"/>
      <c r="O36" s="249"/>
    </row>
    <row r="37" spans="1:21" ht="12.95" customHeight="1" x14ac:dyDescent="0.2">
      <c r="F37" s="1" t="str">
        <f>+B51</f>
        <v>Notes</v>
      </c>
      <c r="G37" s="25"/>
      <c r="H37" s="34">
        <v>10</v>
      </c>
      <c r="I37" s="248"/>
      <c r="J37" s="249"/>
      <c r="K37" s="249"/>
      <c r="L37" s="249"/>
      <c r="M37" s="249"/>
      <c r="N37" s="249"/>
      <c r="O37" s="249"/>
    </row>
    <row r="38" spans="1:21" ht="12.95" customHeight="1" x14ac:dyDescent="0.2">
      <c r="F38" s="25"/>
      <c r="G38" s="25"/>
      <c r="H38" s="25"/>
      <c r="I38" s="25"/>
      <c r="K38" s="38"/>
      <c r="L38" s="38"/>
      <c r="M38" s="38"/>
      <c r="N38" s="38"/>
      <c r="O38" s="38"/>
    </row>
    <row r="39" spans="1:21" ht="12.95" customHeight="1" x14ac:dyDescent="0.2">
      <c r="F39" s="25"/>
      <c r="G39" s="25"/>
      <c r="H39" s="20" t="s">
        <v>90</v>
      </c>
      <c r="I39" s="18"/>
      <c r="J39" s="39"/>
      <c r="K39" s="22"/>
      <c r="L39" s="22"/>
      <c r="M39" s="22"/>
      <c r="N39" s="22"/>
      <c r="O39" s="23"/>
    </row>
    <row r="40" spans="1:21" ht="12.95" customHeight="1" x14ac:dyDescent="0.2">
      <c r="F40" s="25"/>
      <c r="G40" s="25"/>
      <c r="H40" s="40" t="s">
        <v>156</v>
      </c>
      <c r="I40" s="3"/>
      <c r="J40" s="41"/>
      <c r="K40" s="42"/>
      <c r="L40" s="42"/>
      <c r="M40" s="42"/>
      <c r="N40" s="42"/>
      <c r="O40" s="43"/>
    </row>
    <row r="42" spans="1:21" ht="13.5" thickBot="1" x14ac:dyDescent="0.25">
      <c r="A42" s="1" t="s">
        <v>39</v>
      </c>
      <c r="B42" s="47" t="str">
        <f>+E4</f>
        <v>Gooey Cookies</v>
      </c>
      <c r="C42" s="48"/>
      <c r="D42" s="48"/>
      <c r="E42" s="48"/>
      <c r="F42" s="48"/>
      <c r="G42" s="48"/>
      <c r="H42" s="48"/>
      <c r="I42" s="48"/>
      <c r="J42" s="48"/>
      <c r="K42" s="48"/>
      <c r="L42" s="48"/>
      <c r="M42" s="48"/>
      <c r="N42" s="48"/>
      <c r="O42" s="48"/>
    </row>
    <row r="43" spans="1:21" ht="12.95" customHeight="1" x14ac:dyDescent="0.2">
      <c r="B43" s="49" t="s">
        <v>4</v>
      </c>
      <c r="C43" s="4"/>
      <c r="D43" s="4"/>
      <c r="E43" s="4"/>
      <c r="F43" s="4"/>
      <c r="G43" s="4"/>
      <c r="H43" s="4"/>
      <c r="I43" s="4"/>
      <c r="J43" s="4"/>
      <c r="K43" s="4"/>
      <c r="L43" s="4"/>
      <c r="M43" s="4"/>
      <c r="N43" s="4"/>
      <c r="O43" s="4"/>
    </row>
    <row r="44" spans="1:21" ht="12.95" customHeight="1" x14ac:dyDescent="0.2">
      <c r="B44" s="4"/>
      <c r="C44" s="4"/>
      <c r="D44" s="4"/>
      <c r="E44" s="4"/>
      <c r="F44" s="4"/>
      <c r="G44" s="4"/>
      <c r="H44" s="4"/>
      <c r="I44" s="4"/>
      <c r="J44" s="4"/>
      <c r="K44" s="4"/>
      <c r="L44" s="4"/>
      <c r="M44" s="4"/>
      <c r="N44" s="4"/>
      <c r="O44" s="4"/>
      <c r="T44" s="261"/>
      <c r="U44" s="261"/>
    </row>
    <row r="45" spans="1:21" ht="12.95" customHeight="1" x14ac:dyDescent="0.2">
      <c r="A45" s="1" t="s">
        <v>39</v>
      </c>
      <c r="B45" s="50" t="s">
        <v>105</v>
      </c>
      <c r="C45" s="51"/>
      <c r="D45" s="51"/>
      <c r="E45" s="51"/>
      <c r="F45" s="51"/>
      <c r="G45" s="51"/>
      <c r="H45" s="51"/>
      <c r="I45" s="51"/>
      <c r="J45" s="51"/>
      <c r="K45" s="51"/>
      <c r="L45" s="51"/>
      <c r="M45" s="51"/>
      <c r="N45" s="51"/>
      <c r="O45" s="51"/>
    </row>
    <row r="46" spans="1:21" ht="12.95" customHeight="1" x14ac:dyDescent="0.2">
      <c r="B46" s="4"/>
      <c r="C46" s="4"/>
      <c r="D46" s="4"/>
      <c r="E46" s="4"/>
      <c r="F46" s="4"/>
      <c r="G46" s="4"/>
      <c r="H46" s="4"/>
      <c r="I46" s="4"/>
      <c r="J46" s="4"/>
      <c r="K46" s="4"/>
      <c r="L46" s="4"/>
      <c r="M46" s="4"/>
      <c r="N46" s="4"/>
      <c r="O46" s="4"/>
    </row>
    <row r="47" spans="1:21" ht="12.95" customHeight="1" x14ac:dyDescent="0.2">
      <c r="B47" s="2" t="s">
        <v>5</v>
      </c>
      <c r="C47" s="3"/>
      <c r="D47" s="3"/>
      <c r="E47" s="2" t="s">
        <v>134</v>
      </c>
      <c r="F47" s="29" t="s">
        <v>135</v>
      </c>
      <c r="G47" s="29" t="s">
        <v>136</v>
      </c>
      <c r="I47" s="2" t="s">
        <v>6</v>
      </c>
      <c r="J47" s="3"/>
      <c r="K47" s="3"/>
      <c r="L47" s="3"/>
      <c r="M47" s="29" t="s">
        <v>135</v>
      </c>
    </row>
    <row r="48" spans="1:21" ht="12.95" customHeight="1" x14ac:dyDescent="0.2">
      <c r="B48" s="52" t="s">
        <v>7</v>
      </c>
      <c r="C48" s="4"/>
      <c r="D48" s="4"/>
      <c r="E48" s="53">
        <v>0</v>
      </c>
      <c r="F48" s="54"/>
      <c r="G48" s="55"/>
      <c r="H48" s="265" t="s">
        <v>226</v>
      </c>
      <c r="I48" s="4" t="s">
        <v>13</v>
      </c>
      <c r="J48" s="4"/>
      <c r="K48" s="4"/>
      <c r="L48" s="4"/>
      <c r="M48" s="54"/>
      <c r="N48" s="265" t="s">
        <v>222</v>
      </c>
      <c r="Q48" s="267" t="s">
        <v>311</v>
      </c>
    </row>
    <row r="49" spans="1:15" ht="12.95" customHeight="1" x14ac:dyDescent="0.2">
      <c r="B49" s="56" t="s">
        <v>8</v>
      </c>
      <c r="E49" s="57">
        <v>2</v>
      </c>
      <c r="F49" s="16"/>
      <c r="G49" s="58"/>
      <c r="H49" s="265" t="s">
        <v>226</v>
      </c>
      <c r="I49" s="33" t="s">
        <v>14</v>
      </c>
      <c r="M49" s="16"/>
      <c r="N49" s="265" t="s">
        <v>223</v>
      </c>
    </row>
    <row r="50" spans="1:15" ht="12.95" customHeight="1" x14ac:dyDescent="0.2">
      <c r="B50" s="56" t="s">
        <v>9</v>
      </c>
      <c r="E50" s="57">
        <v>1</v>
      </c>
      <c r="F50" s="16"/>
      <c r="G50" s="58"/>
      <c r="H50" s="265" t="s">
        <v>226</v>
      </c>
      <c r="I50" s="33" t="s">
        <v>15</v>
      </c>
      <c r="M50" s="16"/>
      <c r="N50" s="265" t="s">
        <v>224</v>
      </c>
    </row>
    <row r="51" spans="1:15" ht="12.95" customHeight="1" x14ac:dyDescent="0.2">
      <c r="B51" s="59" t="s">
        <v>10</v>
      </c>
      <c r="C51" s="60"/>
      <c r="D51" s="60"/>
      <c r="E51" s="61">
        <v>2.5</v>
      </c>
      <c r="F51" s="62"/>
      <c r="G51" s="63"/>
      <c r="H51" s="265" t="s">
        <v>226</v>
      </c>
      <c r="M51" s="64"/>
    </row>
    <row r="52" spans="1:15" ht="12.95" customHeight="1" x14ac:dyDescent="0.2">
      <c r="B52" s="27" t="s">
        <v>11</v>
      </c>
      <c r="C52" s="3"/>
      <c r="D52" s="3"/>
      <c r="E52" s="65"/>
      <c r="F52" s="66"/>
      <c r="G52" s="67"/>
      <c r="H52" s="265" t="s">
        <v>227</v>
      </c>
      <c r="I52" s="3"/>
      <c r="J52" s="3"/>
      <c r="K52" s="3"/>
      <c r="L52" s="3"/>
      <c r="M52" s="68"/>
    </row>
    <row r="53" spans="1:15" ht="12.95" customHeight="1" x14ac:dyDescent="0.2">
      <c r="B53" s="30" t="s">
        <v>12</v>
      </c>
      <c r="C53" s="69"/>
      <c r="D53" s="69"/>
      <c r="E53" s="70"/>
      <c r="F53" s="71"/>
      <c r="G53" s="72"/>
      <c r="H53" s="265" t="s">
        <v>228</v>
      </c>
      <c r="I53" s="30" t="s">
        <v>16</v>
      </c>
      <c r="J53" s="69"/>
      <c r="K53" s="69"/>
      <c r="L53" s="69"/>
      <c r="M53" s="71"/>
      <c r="N53" s="265" t="s">
        <v>225</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c r="L104" s="232"/>
      <c r="M104" s="232"/>
      <c r="N104" s="232"/>
      <c r="O104" s="232"/>
    </row>
    <row r="105" spans="1:17" ht="12.95" customHeight="1" x14ac:dyDescent="0.2">
      <c r="B105" s="3" t="s">
        <v>24</v>
      </c>
      <c r="C105" s="3"/>
      <c r="D105" s="3"/>
      <c r="E105" s="3"/>
      <c r="F105" s="3"/>
      <c r="G105" s="3"/>
      <c r="H105" s="120">
        <v>-513</v>
      </c>
      <c r="I105" s="120">
        <v>-547.947</v>
      </c>
      <c r="J105" s="127">
        <v>-585.2728800000001</v>
      </c>
      <c r="K105" s="233"/>
      <c r="L105" s="233"/>
      <c r="M105" s="233"/>
      <c r="N105" s="233"/>
      <c r="O105" s="233"/>
    </row>
    <row r="106" spans="1:17" ht="12.95" customHeight="1" x14ac:dyDescent="0.2">
      <c r="B106" s="4" t="s">
        <v>17</v>
      </c>
      <c r="C106" s="4"/>
      <c r="D106" s="4"/>
      <c r="E106" s="4"/>
      <c r="F106" s="4"/>
      <c r="G106" s="4"/>
      <c r="H106" s="121">
        <f t="shared" ref="H106:J106" si="0">SUM(H104:H105)</f>
        <v>387</v>
      </c>
      <c r="I106" s="121">
        <f t="shared" si="0"/>
        <v>415.053</v>
      </c>
      <c r="J106" s="126">
        <f t="shared" si="0"/>
        <v>445.13711999999998</v>
      </c>
      <c r="K106" s="62"/>
      <c r="L106" s="62"/>
      <c r="M106" s="62"/>
      <c r="N106" s="62"/>
      <c r="O106" s="62"/>
    </row>
    <row r="107" spans="1:17" ht="12.95" customHeight="1" x14ac:dyDescent="0.2">
      <c r="B107" s="3" t="s">
        <v>18</v>
      </c>
      <c r="C107" s="3"/>
      <c r="D107" s="3"/>
      <c r="E107" s="3"/>
      <c r="F107" s="3"/>
      <c r="G107" s="3"/>
      <c r="H107" s="120">
        <v>-252.00000000000003</v>
      </c>
      <c r="I107" s="120">
        <v>-270.60300000000001</v>
      </c>
      <c r="J107" s="127">
        <v>-290.57562000000007</v>
      </c>
      <c r="K107" s="62"/>
      <c r="L107" s="62"/>
      <c r="M107" s="62"/>
      <c r="N107" s="62"/>
      <c r="O107" s="62"/>
    </row>
    <row r="108" spans="1:17" ht="12.95" customHeight="1" x14ac:dyDescent="0.2">
      <c r="B108" s="69" t="s">
        <v>25</v>
      </c>
      <c r="C108" s="69"/>
      <c r="D108" s="69"/>
      <c r="E108" s="69"/>
      <c r="F108" s="69"/>
      <c r="G108" s="69"/>
      <c r="H108" s="122">
        <f t="shared" ref="H108:J108" si="1">+SUM(H106:H107)</f>
        <v>134.99999999999997</v>
      </c>
      <c r="I108" s="122">
        <f t="shared" si="1"/>
        <v>144.44999999999999</v>
      </c>
      <c r="J108" s="128">
        <f t="shared" si="1"/>
        <v>154.56149999999991</v>
      </c>
      <c r="K108" s="96"/>
      <c r="L108" s="96"/>
      <c r="M108" s="96"/>
      <c r="N108" s="96"/>
      <c r="O108" s="96"/>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J111" si="2">+SUM(H108:H110)</f>
        <v>134.99999999999997</v>
      </c>
      <c r="I111" s="121">
        <f t="shared" si="2"/>
        <v>144.45499999999998</v>
      </c>
      <c r="J111" s="126">
        <f t="shared" si="2"/>
        <v>154.5689999999999</v>
      </c>
      <c r="K111" s="222"/>
      <c r="L111" s="222"/>
      <c r="M111" s="222"/>
      <c r="N111" s="222"/>
      <c r="O111" s="222"/>
    </row>
    <row r="112" spans="1:17" ht="12.95" customHeight="1" x14ac:dyDescent="0.2">
      <c r="B112" s="4" t="s">
        <v>22</v>
      </c>
      <c r="C112" s="4"/>
      <c r="D112" s="4"/>
      <c r="E112" s="4"/>
      <c r="F112" s="4"/>
      <c r="G112" s="4"/>
      <c r="H112" s="120">
        <v>-47.249999999999986</v>
      </c>
      <c r="I112" s="120">
        <v>-37.558299999999996</v>
      </c>
      <c r="J112" s="127">
        <v>-40.187939999999976</v>
      </c>
      <c r="K112" s="62"/>
      <c r="L112" s="62"/>
      <c r="M112" s="62"/>
      <c r="N112" s="62"/>
      <c r="O112" s="62"/>
    </row>
    <row r="113" spans="2:17" ht="12.95" customHeight="1" x14ac:dyDescent="0.2">
      <c r="B113" s="20" t="s">
        <v>23</v>
      </c>
      <c r="C113" s="21"/>
      <c r="D113" s="21"/>
      <c r="E113" s="21"/>
      <c r="F113" s="21"/>
      <c r="G113" s="21"/>
      <c r="H113" s="122">
        <f t="shared" ref="H113:J113" si="3">+SUM(H111:H112)</f>
        <v>87.749999999999986</v>
      </c>
      <c r="I113" s="122">
        <f t="shared" si="3"/>
        <v>106.89669999999998</v>
      </c>
      <c r="J113" s="128">
        <f t="shared" si="3"/>
        <v>114.38105999999993</v>
      </c>
      <c r="K113" s="234"/>
      <c r="L113" s="234"/>
      <c r="M113" s="234"/>
      <c r="N113" s="234"/>
      <c r="O113" s="235"/>
    </row>
    <row r="114" spans="2:17" ht="12.95" customHeight="1" x14ac:dyDescent="0.2">
      <c r="B114" s="4"/>
      <c r="C114" s="4"/>
      <c r="D114" s="4"/>
      <c r="E114" s="4"/>
      <c r="F114" s="4"/>
      <c r="G114" s="4"/>
      <c r="H114" s="123"/>
      <c r="I114" s="123"/>
      <c r="J114" s="124"/>
      <c r="K114" s="244"/>
      <c r="L114" s="244"/>
      <c r="M114" s="244"/>
      <c r="N114" s="244"/>
      <c r="O114" s="244"/>
    </row>
    <row r="115" spans="2:17" ht="12.95" customHeight="1" x14ac:dyDescent="0.2">
      <c r="B115" s="2" t="s">
        <v>37</v>
      </c>
      <c r="C115" s="3"/>
      <c r="D115" s="3"/>
      <c r="E115" s="3"/>
      <c r="F115" s="3"/>
      <c r="G115" s="3"/>
      <c r="H115" s="60"/>
      <c r="I115" s="60"/>
      <c r="J115" s="125"/>
      <c r="K115" s="60"/>
      <c r="L115" s="60"/>
      <c r="M115" s="60"/>
      <c r="N115" s="60"/>
      <c r="O115" s="60"/>
    </row>
    <row r="116" spans="2:17" ht="12.95" customHeight="1" x14ac:dyDescent="0.2">
      <c r="B116" s="4" t="s">
        <v>19</v>
      </c>
      <c r="C116" s="4"/>
      <c r="D116" s="4"/>
      <c r="E116" s="4"/>
      <c r="F116" s="4"/>
      <c r="G116" s="4"/>
      <c r="H116" s="121">
        <f t="shared" ref="H116:J116" si="4">+H108</f>
        <v>134.99999999999997</v>
      </c>
      <c r="I116" s="121">
        <f t="shared" si="4"/>
        <v>144.44999999999999</v>
      </c>
      <c r="J116" s="126">
        <f t="shared" si="4"/>
        <v>154.56149999999991</v>
      </c>
      <c r="K116" s="222"/>
      <c r="L116" s="222"/>
      <c r="M116" s="222"/>
      <c r="N116" s="222"/>
      <c r="O116" s="222"/>
    </row>
    <row r="117" spans="2:17" ht="12.95" customHeight="1" x14ac:dyDescent="0.2">
      <c r="B117" s="3" t="s">
        <v>34</v>
      </c>
      <c r="C117" s="3"/>
      <c r="D117" s="3"/>
      <c r="E117" s="3"/>
      <c r="F117" s="3"/>
      <c r="G117" s="3"/>
      <c r="H117" s="120">
        <v>31.500000000000004</v>
      </c>
      <c r="I117" s="120">
        <v>34.668000000000006</v>
      </c>
      <c r="J117" s="127">
        <v>38.125170000000011</v>
      </c>
      <c r="K117" s="62"/>
      <c r="L117" s="62"/>
      <c r="M117" s="62"/>
      <c r="N117" s="62"/>
      <c r="O117" s="62"/>
    </row>
    <row r="118" spans="2:17" ht="12.95" customHeight="1" x14ac:dyDescent="0.2">
      <c r="B118" s="4" t="s">
        <v>35</v>
      </c>
      <c r="C118" s="4"/>
      <c r="D118" s="4"/>
      <c r="E118" s="4"/>
      <c r="F118" s="4"/>
      <c r="G118" s="4"/>
      <c r="H118" s="121">
        <f t="shared" ref="H118:J118" si="5">SUM(H116:H117)</f>
        <v>166.49999999999997</v>
      </c>
      <c r="I118" s="121">
        <f t="shared" si="5"/>
        <v>179.11799999999999</v>
      </c>
      <c r="J118" s="126">
        <f t="shared" si="5"/>
        <v>192.68666999999994</v>
      </c>
      <c r="K118" s="222"/>
      <c r="L118" s="222"/>
      <c r="M118" s="222"/>
      <c r="N118" s="222"/>
      <c r="O118" s="222"/>
    </row>
    <row r="119" spans="2:17"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7" s="76" customFormat="1" ht="12.95" customHeight="1" x14ac:dyDescent="0.2">
      <c r="B120" s="20" t="s">
        <v>36</v>
      </c>
      <c r="C120" s="21"/>
      <c r="D120" s="21"/>
      <c r="E120" s="21"/>
      <c r="F120" s="21"/>
      <c r="G120" s="21"/>
      <c r="H120" s="122">
        <f t="shared" ref="H120:J120" si="6">+SUM(H118:H119)</f>
        <v>173.49999999999997</v>
      </c>
      <c r="I120" s="122">
        <f t="shared" si="6"/>
        <v>184.11799999999999</v>
      </c>
      <c r="J120" s="128">
        <f t="shared" si="6"/>
        <v>194.68666999999994</v>
      </c>
      <c r="K120" s="96"/>
      <c r="L120" s="96"/>
      <c r="M120" s="96"/>
      <c r="N120" s="96"/>
      <c r="O120" s="97"/>
      <c r="Q120" s="1"/>
    </row>
    <row r="121" spans="2:17" ht="12.95" customHeight="1" x14ac:dyDescent="0.2">
      <c r="B121" s="4"/>
      <c r="C121" s="4"/>
      <c r="D121" s="4"/>
      <c r="E121" s="4"/>
      <c r="F121" s="4"/>
      <c r="G121" s="4"/>
      <c r="H121" s="123"/>
      <c r="I121" s="123"/>
      <c r="J121" s="124"/>
      <c r="K121" s="243"/>
      <c r="L121" s="243"/>
      <c r="M121" s="243"/>
      <c r="N121" s="243"/>
      <c r="O121" s="243"/>
    </row>
    <row r="122" spans="2:17" ht="12.95" customHeight="1" x14ac:dyDescent="0.2">
      <c r="B122" s="129" t="s">
        <v>114</v>
      </c>
      <c r="C122" s="4"/>
      <c r="D122" s="4"/>
      <c r="E122" s="4"/>
      <c r="F122" s="4"/>
      <c r="G122" s="4"/>
      <c r="H122" s="60"/>
      <c r="I122" s="60"/>
      <c r="J122" s="125"/>
      <c r="K122" s="60"/>
      <c r="L122" s="60"/>
      <c r="M122" s="60"/>
      <c r="N122" s="60"/>
      <c r="O122" s="60"/>
    </row>
    <row r="123" spans="2:17" ht="12.95" customHeight="1" x14ac:dyDescent="0.2">
      <c r="B123" s="4" t="s">
        <v>71</v>
      </c>
      <c r="C123" s="4"/>
      <c r="D123" s="4"/>
      <c r="E123" s="4"/>
      <c r="F123" s="4"/>
      <c r="G123" s="4"/>
      <c r="H123" s="227">
        <v>36</v>
      </c>
      <c r="I123" s="227">
        <v>39.0015</v>
      </c>
      <c r="J123" s="228">
        <v>42.246810000000004</v>
      </c>
      <c r="K123" s="130"/>
      <c r="L123" s="130"/>
      <c r="M123" s="130"/>
      <c r="N123" s="130"/>
      <c r="O123" s="130"/>
    </row>
    <row r="124" spans="2:17" ht="12.95" customHeight="1" x14ac:dyDescent="0.2">
      <c r="B124" s="4"/>
      <c r="C124" s="4"/>
      <c r="D124" s="4"/>
      <c r="E124" s="4"/>
      <c r="F124" s="4"/>
      <c r="G124" s="4"/>
      <c r="H124" s="4"/>
      <c r="I124" s="4"/>
      <c r="J124" s="131"/>
      <c r="K124" s="4"/>
      <c r="L124" s="4"/>
      <c r="M124" s="4"/>
      <c r="N124" s="4"/>
      <c r="O124" s="4"/>
    </row>
    <row r="125" spans="2:17" ht="12.95" customHeight="1" x14ac:dyDescent="0.2">
      <c r="B125" s="132" t="s">
        <v>27</v>
      </c>
      <c r="C125" s="3"/>
      <c r="D125" s="3"/>
      <c r="E125" s="3"/>
      <c r="F125" s="3"/>
      <c r="G125" s="3"/>
      <c r="H125" s="3"/>
      <c r="I125" s="3"/>
      <c r="J125" s="133"/>
      <c r="K125" s="3"/>
      <c r="L125" s="3"/>
      <c r="M125" s="3"/>
      <c r="N125" s="3"/>
      <c r="O125" s="3"/>
    </row>
    <row r="126" spans="2:17"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7"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7">+K127+0.002</f>
        <v>0.43599999999999994</v>
      </c>
      <c r="M127" s="134">
        <f t="shared" si="7"/>
        <v>0.43799999999999994</v>
      </c>
      <c r="N127" s="134">
        <f t="shared" si="7"/>
        <v>0.43999999999999995</v>
      </c>
      <c r="O127" s="134">
        <f t="shared" si="7"/>
        <v>0.44199999999999995</v>
      </c>
    </row>
    <row r="128" spans="2:17"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8">+K128-0.0015</f>
        <v>0.27900000000000003</v>
      </c>
      <c r="M128" s="134">
        <f t="shared" si="8"/>
        <v>0.27750000000000002</v>
      </c>
      <c r="N128" s="134">
        <f t="shared" si="8"/>
        <v>0.27600000000000002</v>
      </c>
      <c r="O128" s="134">
        <f t="shared" si="8"/>
        <v>0.27450000000000002</v>
      </c>
    </row>
    <row r="129" spans="1:24" s="4" customFormat="1" ht="12.95" customHeight="1" x14ac:dyDescent="0.2">
      <c r="B129" s="4" t="s">
        <v>30</v>
      </c>
      <c r="H129" s="135">
        <f t="shared" ref="H129:O129" si="9">+H120/H104</f>
        <v>0.19277777777777774</v>
      </c>
      <c r="I129" s="135">
        <f t="shared" si="9"/>
        <v>0.19119210799584632</v>
      </c>
      <c r="J129" s="136">
        <f t="shared" si="9"/>
        <v>0.18894097495171816</v>
      </c>
      <c r="K129" s="135" t="e">
        <f t="shared" si="9"/>
        <v>#DIV/0!</v>
      </c>
      <c r="L129" s="135" t="e">
        <f t="shared" si="9"/>
        <v>#DIV/0!</v>
      </c>
      <c r="M129" s="135" t="e">
        <f t="shared" si="9"/>
        <v>#DIV/0!</v>
      </c>
      <c r="N129" s="135" t="e">
        <f t="shared" si="9"/>
        <v>#DIV/0!</v>
      </c>
      <c r="O129" s="135" t="e">
        <f t="shared" si="9"/>
        <v>#DIV/0!</v>
      </c>
    </row>
    <row r="130" spans="1:24" s="4" customFormat="1" ht="12.95" customHeight="1" x14ac:dyDescent="0.2">
      <c r="B130" s="4" t="s">
        <v>32</v>
      </c>
      <c r="H130" s="33"/>
      <c r="I130" s="135">
        <f t="shared" ref="I130:O130" si="10">+I120/H120-1</f>
        <v>6.1198847262248002E-2</v>
      </c>
      <c r="J130" s="136">
        <f t="shared" si="10"/>
        <v>5.7401612009689185E-2</v>
      </c>
      <c r="K130" s="135">
        <f t="shared" si="10"/>
        <v>-1</v>
      </c>
      <c r="L130" s="135" t="e">
        <f t="shared" si="10"/>
        <v>#DIV/0!</v>
      </c>
      <c r="M130" s="135" t="e">
        <f t="shared" si="10"/>
        <v>#DIV/0!</v>
      </c>
      <c r="N130" s="135" t="e">
        <f t="shared" si="10"/>
        <v>#DIV/0!</v>
      </c>
      <c r="O130" s="135" t="e">
        <f t="shared" si="10"/>
        <v>#DIV/0!</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c r="K139" s="221"/>
      <c r="L139" s="221"/>
      <c r="M139" s="221"/>
      <c r="N139" s="221"/>
      <c r="O139" s="221"/>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c r="K140" s="62"/>
      <c r="L140" s="62"/>
      <c r="M140" s="62"/>
      <c r="N140" s="62"/>
      <c r="O140" s="62"/>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c r="K141" s="35"/>
      <c r="L141" s="35"/>
      <c r="M141" s="35"/>
      <c r="N141" s="35"/>
      <c r="O141" s="35"/>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c r="K142" s="66"/>
      <c r="L142" s="66"/>
      <c r="M142" s="66"/>
      <c r="N142" s="66"/>
      <c r="O142" s="66"/>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c r="K143" s="238"/>
      <c r="L143" s="238"/>
      <c r="M143" s="238"/>
      <c r="N143" s="238"/>
      <c r="O143" s="238"/>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c r="K145" s="35"/>
      <c r="L145" s="35"/>
      <c r="M145" s="35"/>
      <c r="N145" s="35"/>
      <c r="O145" s="35"/>
      <c r="Q145" s="174"/>
      <c r="R145" s="174"/>
      <c r="S145" s="174"/>
      <c r="T145" s="174"/>
      <c r="U145" s="174"/>
      <c r="V145" s="174"/>
      <c r="W145" s="174"/>
      <c r="X145" s="174"/>
    </row>
    <row r="146" spans="2:24" s="4" customFormat="1" ht="12.95" customHeight="1" x14ac:dyDescent="0.2">
      <c r="B146" s="4" t="s">
        <v>45</v>
      </c>
      <c r="E146" s="159">
        <v>0</v>
      </c>
      <c r="F146" s="159">
        <v>0</v>
      </c>
      <c r="G146" s="160">
        <v>0</v>
      </c>
      <c r="H146" s="35"/>
      <c r="J146" s="149"/>
      <c r="K146" s="35"/>
      <c r="L146" s="35"/>
      <c r="M146" s="35"/>
      <c r="N146" s="35"/>
      <c r="O146" s="35"/>
      <c r="Q146" s="174"/>
      <c r="R146" s="174"/>
      <c r="S146" s="174"/>
      <c r="T146" s="174"/>
      <c r="U146" s="174"/>
      <c r="V146" s="174"/>
      <c r="W146" s="174"/>
      <c r="X146" s="174"/>
    </row>
    <row r="147" spans="2:24" s="4" customFormat="1" ht="12.95" customHeight="1" x14ac:dyDescent="0.2">
      <c r="B147" s="4" t="s">
        <v>145</v>
      </c>
      <c r="E147" s="159">
        <v>0</v>
      </c>
      <c r="F147" s="159">
        <v>0</v>
      </c>
      <c r="G147" s="160">
        <v>0</v>
      </c>
      <c r="H147" s="35"/>
      <c r="J147" s="149"/>
      <c r="K147" s="35"/>
      <c r="L147" s="35"/>
      <c r="M147" s="35"/>
      <c r="N147" s="35"/>
      <c r="O147" s="35"/>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c r="K148" s="35"/>
      <c r="L148" s="35"/>
      <c r="M148" s="35"/>
      <c r="N148" s="35"/>
      <c r="O148" s="35"/>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c r="K149" s="240"/>
      <c r="L149" s="240"/>
      <c r="M149" s="240"/>
      <c r="N149" s="240"/>
      <c r="O149" s="241"/>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c r="K151" s="35"/>
      <c r="L151" s="35"/>
      <c r="M151" s="35"/>
      <c r="N151" s="35"/>
      <c r="O151" s="35"/>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c r="K152" s="35"/>
      <c r="L152" s="35"/>
      <c r="M152" s="35"/>
      <c r="N152" s="35"/>
      <c r="O152" s="35"/>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c r="K153" s="66"/>
      <c r="L153" s="66"/>
      <c r="M153" s="66"/>
      <c r="N153" s="66"/>
      <c r="O153" s="66"/>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c r="K154" s="242"/>
      <c r="L154" s="238"/>
      <c r="M154" s="238"/>
      <c r="N154" s="238"/>
      <c r="O154" s="238"/>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c r="K156" s="35"/>
      <c r="L156" s="35"/>
      <c r="M156" s="35"/>
      <c r="N156" s="35"/>
      <c r="O156" s="35"/>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c r="J159" s="149"/>
      <c r="K159" s="35"/>
      <c r="L159" s="35"/>
      <c r="M159" s="35"/>
      <c r="N159" s="35"/>
      <c r="O159" s="35"/>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c r="J160" s="149"/>
      <c r="K160" s="35"/>
      <c r="L160" s="35"/>
      <c r="M160" s="35"/>
      <c r="N160" s="35"/>
      <c r="O160" s="35"/>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c r="J161" s="149"/>
      <c r="K161" s="35"/>
      <c r="L161" s="35"/>
      <c r="M161" s="35"/>
      <c r="N161" s="35"/>
      <c r="O161" s="35"/>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c r="I162" s="3"/>
      <c r="J162" s="152"/>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c r="K163" s="238">
        <f t="shared" ref="K163:O163" si="11">+SUM(K158:K162)</f>
        <v>0</v>
      </c>
      <c r="L163" s="238">
        <f t="shared" si="11"/>
        <v>0</v>
      </c>
      <c r="M163" s="238">
        <f t="shared" si="11"/>
        <v>0</v>
      </c>
      <c r="N163" s="238">
        <f t="shared" si="11"/>
        <v>0</v>
      </c>
      <c r="O163" s="238">
        <f t="shared" si="11"/>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c r="I165" s="35"/>
      <c r="J165" s="149"/>
      <c r="K165" s="35"/>
      <c r="L165" s="35"/>
      <c r="M165" s="35"/>
      <c r="N165" s="35"/>
      <c r="O165" s="35"/>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c r="K166" s="22"/>
      <c r="L166" s="22"/>
      <c r="M166" s="22"/>
      <c r="N166" s="22"/>
      <c r="O166" s="23"/>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c r="F168" s="175"/>
      <c r="G168" s="176"/>
      <c r="H168" s="112"/>
      <c r="J168" s="177"/>
      <c r="K168" s="175"/>
      <c r="L168" s="175"/>
      <c r="M168" s="175"/>
      <c r="N168" s="175"/>
      <c r="O168" s="175"/>
      <c r="Q168" s="174"/>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c r="F171" s="35"/>
      <c r="G171" s="236"/>
      <c r="H171" s="145"/>
      <c r="I171" s="181"/>
      <c r="J171" s="180"/>
      <c r="K171" s="35"/>
      <c r="L171" s="35"/>
      <c r="M171" s="35"/>
      <c r="N171" s="35"/>
      <c r="O171" s="35"/>
    </row>
    <row r="172" spans="2:24" s="4" customFormat="1" ht="12.95" customHeight="1" outlineLevel="1" x14ac:dyDescent="0.2">
      <c r="B172" s="4" t="str">
        <f>+B105</f>
        <v>Cost of Goods Sold (Cost of Sales)</v>
      </c>
      <c r="E172" s="35"/>
      <c r="F172" s="35"/>
      <c r="G172" s="236"/>
      <c r="H172" s="112"/>
      <c r="I172" s="131"/>
      <c r="J172" s="180"/>
      <c r="K172" s="35"/>
      <c r="L172" s="35"/>
      <c r="M172" s="35"/>
      <c r="N172" s="35"/>
      <c r="O172" s="35"/>
    </row>
    <row r="173" spans="2:24" s="4" customFormat="1" ht="12.95" customHeight="1" outlineLevel="1" x14ac:dyDescent="0.2">
      <c r="B173" s="3" t="str">
        <f>+B107</f>
        <v>SG&amp;A</v>
      </c>
      <c r="C173" s="3"/>
      <c r="D173" s="3"/>
      <c r="E173" s="66"/>
      <c r="F173" s="66"/>
      <c r="G173" s="237"/>
      <c r="H173" s="115"/>
      <c r="I173" s="133"/>
      <c r="J173" s="182"/>
      <c r="K173" s="66"/>
      <c r="L173" s="66"/>
      <c r="M173" s="66"/>
      <c r="N173" s="66"/>
      <c r="O173" s="66"/>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t="e">
        <f>+(E140/E171)*365</f>
        <v>#DIV/0!</v>
      </c>
      <c r="F176" s="185" t="e">
        <f>+(F140/F171)*365</f>
        <v>#DIV/0!</v>
      </c>
      <c r="G176" s="186" t="e">
        <f>+(G140/G171)*365</f>
        <v>#DIV/0!</v>
      </c>
      <c r="H176" s="112"/>
      <c r="I176" s="131"/>
      <c r="J176" s="187"/>
      <c r="K176" s="188">
        <v>30</v>
      </c>
      <c r="L176" s="189">
        <v>30</v>
      </c>
      <c r="M176" s="189">
        <v>30</v>
      </c>
      <c r="N176" s="189">
        <v>30</v>
      </c>
      <c r="O176" s="189">
        <v>30</v>
      </c>
    </row>
    <row r="177" spans="1:15" s="4" customFormat="1" ht="12.95" customHeight="1" x14ac:dyDescent="0.2">
      <c r="B177" s="4" t="s">
        <v>54</v>
      </c>
      <c r="E177" s="190">
        <f>+E172/E141</f>
        <v>0</v>
      </c>
      <c r="F177" s="190">
        <f>+F172/F141</f>
        <v>0</v>
      </c>
      <c r="G177" s="191">
        <f>+G172/G141</f>
        <v>0</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t="e">
        <f>+E142/E171</f>
        <v>#DIV/0!</v>
      </c>
      <c r="F178" s="193" t="e">
        <f>+F142/F171</f>
        <v>#DIV/0!</v>
      </c>
      <c r="G178" s="194" t="e">
        <f>+G142/G171</f>
        <v>#DIV/0!</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t="e">
        <f>+(E151/E172)*365</f>
        <v>#DIV/0!</v>
      </c>
      <c r="F181" s="185" t="e">
        <f>+(F151/F172)*365</f>
        <v>#DIV/0!</v>
      </c>
      <c r="G181" s="198" t="e">
        <f>+(G151/G172)*365</f>
        <v>#DIV/0!</v>
      </c>
      <c r="H181" s="112"/>
      <c r="J181" s="199"/>
      <c r="K181" s="189">
        <v>30</v>
      </c>
      <c r="L181" s="189">
        <v>30</v>
      </c>
      <c r="M181" s="189">
        <v>30</v>
      </c>
      <c r="N181" s="189">
        <v>30</v>
      </c>
      <c r="O181" s="189">
        <v>30</v>
      </c>
    </row>
    <row r="182" spans="1:15" s="4" customFormat="1" ht="12.95" customHeight="1" x14ac:dyDescent="0.2">
      <c r="B182" s="4" t="s">
        <v>211</v>
      </c>
      <c r="E182" s="193" t="e">
        <f>+E152/SUM(E172:E173)</f>
        <v>#DIV/0!</v>
      </c>
      <c r="F182" s="193" t="e">
        <f>+F152/SUM(F172:F173)</f>
        <v>#DIV/0!</v>
      </c>
      <c r="G182" s="194" t="e">
        <f>+G152/SUM(G172:G173)</f>
        <v>#DIV/0!</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t="e">
        <f>+E153/E171</f>
        <v>#DIV/0!</v>
      </c>
      <c r="F183" s="193" t="e">
        <f>+F153/F171</f>
        <v>#DIV/0!</v>
      </c>
      <c r="G183" s="194" t="e">
        <f>+G153/G171</f>
        <v>#DIV/0!</v>
      </c>
      <c r="H183" s="112"/>
      <c r="J183" s="195"/>
      <c r="K183" s="134">
        <v>0.05</v>
      </c>
      <c r="L183" s="134">
        <v>0.05</v>
      </c>
      <c r="M183" s="134">
        <v>0.05</v>
      </c>
      <c r="N183" s="134">
        <v>0.05</v>
      </c>
      <c r="O183" s="134">
        <v>0.05</v>
      </c>
    </row>
    <row r="184" spans="1:15" s="4" customFormat="1" ht="12.95" customHeight="1" x14ac:dyDescent="0.2">
      <c r="B184" s="4" t="s">
        <v>120</v>
      </c>
      <c r="E184" s="193" t="e">
        <f>+E156/E171</f>
        <v>#DIV/0!</v>
      </c>
      <c r="F184" s="193" t="e">
        <f>+F156/F171</f>
        <v>#DIV/0!</v>
      </c>
      <c r="G184" s="194" t="e">
        <f>+G156/G171</f>
        <v>#DIV/0!</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0</v>
      </c>
      <c r="L186" s="200">
        <f>+(L143-L139)-L154</f>
        <v>0</v>
      </c>
      <c r="M186" s="200">
        <f>+(M143-M139)-M154</f>
        <v>0</v>
      </c>
      <c r="N186" s="200">
        <f>+(N143-N139)-N154</f>
        <v>0</v>
      </c>
      <c r="O186" s="200">
        <f>+(O143-O139)-O154</f>
        <v>0</v>
      </c>
    </row>
    <row r="187" spans="1:15" s="4" customFormat="1" ht="12.95" customHeight="1" x14ac:dyDescent="0.2">
      <c r="B187" s="3" t="s">
        <v>195</v>
      </c>
      <c r="C187" s="3"/>
      <c r="D187" s="3"/>
      <c r="E187" s="203" t="e">
        <f>+E186/E171</f>
        <v>#DIV/0!</v>
      </c>
      <c r="F187" s="203" t="e">
        <f>+F186/F171</f>
        <v>#DIV/0!</v>
      </c>
      <c r="G187" s="204" t="e">
        <f>+G186/G171</f>
        <v>#DIV/0!</v>
      </c>
      <c r="H187" s="115"/>
      <c r="I187" s="3"/>
      <c r="J187" s="205"/>
      <c r="K187" s="203" t="e">
        <f>+K186/K171</f>
        <v>#DIV/0!</v>
      </c>
      <c r="L187" s="203" t="e">
        <f>+L186/L171</f>
        <v>#DIV/0!</v>
      </c>
      <c r="M187" s="203" t="e">
        <f>+M186/M171</f>
        <v>#DIV/0!</v>
      </c>
      <c r="N187" s="203" t="e">
        <f>+N186/N171</f>
        <v>#DIV/0!</v>
      </c>
      <c r="O187" s="203"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8"/>
      <c r="I193" s="108"/>
      <c r="J193" s="108"/>
      <c r="K193" s="15"/>
      <c r="L193" s="15"/>
      <c r="M193" s="15"/>
      <c r="N193" s="15"/>
      <c r="O193" s="15"/>
    </row>
    <row r="194" spans="2:17" ht="12.95" customHeight="1" x14ac:dyDescent="0.2">
      <c r="B194" s="1" t="s">
        <v>67</v>
      </c>
      <c r="H194" s="38"/>
      <c r="I194" s="38"/>
      <c r="J194" s="38"/>
      <c r="K194" s="16"/>
      <c r="L194" s="16"/>
      <c r="M194" s="16"/>
      <c r="N194" s="16"/>
      <c r="O194" s="16"/>
    </row>
    <row r="195" spans="2:17" ht="12.95" customHeight="1" x14ac:dyDescent="0.2">
      <c r="B195" s="1" t="s">
        <v>145</v>
      </c>
      <c r="H195" s="38"/>
      <c r="I195" s="38"/>
      <c r="J195" s="38"/>
      <c r="K195" s="16"/>
      <c r="L195" s="16"/>
      <c r="M195" s="16"/>
      <c r="N195" s="16"/>
      <c r="O195" s="16"/>
    </row>
    <row r="196" spans="2:17" ht="12.95" customHeight="1" x14ac:dyDescent="0.2">
      <c r="B196" s="1" t="s">
        <v>150</v>
      </c>
      <c r="H196" s="38"/>
      <c r="I196" s="38"/>
      <c r="J196" s="38"/>
      <c r="K196" s="62"/>
      <c r="L196" s="62"/>
      <c r="M196" s="62"/>
      <c r="N196" s="62"/>
      <c r="O196" s="62"/>
    </row>
    <row r="198" spans="2:17" ht="12.95" customHeight="1" x14ac:dyDescent="0.2">
      <c r="B198" s="24" t="s">
        <v>85</v>
      </c>
    </row>
    <row r="199" spans="2:17" ht="12.95" customHeight="1" x14ac:dyDescent="0.2">
      <c r="B199" s="1" t="str">
        <f>+"(Increase) / Decrease in "&amp;B140</f>
        <v>(Increase) / Decrease in Accounts Receivable</v>
      </c>
      <c r="H199" s="38"/>
      <c r="I199" s="38"/>
      <c r="J199" s="38"/>
      <c r="K199" s="16"/>
      <c r="L199" s="16"/>
      <c r="M199" s="16"/>
      <c r="N199" s="16"/>
      <c r="O199" s="16"/>
    </row>
    <row r="200" spans="2:17" ht="12.95" customHeight="1" x14ac:dyDescent="0.2">
      <c r="B200" s="1" t="str">
        <f>+"(Increase) / Decrease in "&amp;B141</f>
        <v>(Increase) / Decrease in Inventories</v>
      </c>
      <c r="H200" s="38"/>
      <c r="I200" s="38"/>
      <c r="J200" s="38"/>
      <c r="K200" s="16"/>
      <c r="L200" s="16"/>
      <c r="M200" s="16"/>
      <c r="N200" s="16"/>
      <c r="O200" s="16"/>
    </row>
    <row r="201" spans="2:17" ht="12.95" customHeight="1" x14ac:dyDescent="0.2">
      <c r="B201" s="1" t="str">
        <f>+"(Increase) / Decrease in "&amp;B142</f>
        <v>(Increase) / Decrease in Prepaid Expenses</v>
      </c>
      <c r="H201" s="38"/>
      <c r="I201" s="38"/>
      <c r="J201" s="38"/>
      <c r="K201" s="16"/>
      <c r="L201" s="16"/>
      <c r="M201" s="16"/>
      <c r="N201" s="16"/>
      <c r="O201" s="16"/>
    </row>
    <row r="202" spans="2:17" ht="12.95" customHeight="1" x14ac:dyDescent="0.2">
      <c r="B202" s="1" t="str">
        <f>+"(Increase) / Decrease in "&amp;B148</f>
        <v>(Increase) / Decrease in Other Long-Term (Operating) Assets</v>
      </c>
      <c r="H202" s="38"/>
      <c r="I202" s="38"/>
      <c r="J202" s="38"/>
      <c r="K202" s="16"/>
      <c r="L202" s="16"/>
      <c r="M202" s="16"/>
      <c r="N202" s="16"/>
      <c r="O202" s="16"/>
    </row>
    <row r="203" spans="2:17" ht="12.95" customHeight="1" x14ac:dyDescent="0.2">
      <c r="B203" s="1" t="str">
        <f>+"Increase / (Decrease) in "&amp;B151</f>
        <v>Increase / (Decrease) in Accounts Payable</v>
      </c>
      <c r="H203" s="38"/>
      <c r="I203" s="38"/>
      <c r="J203" s="38"/>
      <c r="K203" s="16"/>
      <c r="L203" s="16"/>
      <c r="M203" s="16"/>
      <c r="N203" s="16"/>
      <c r="O203" s="16"/>
    </row>
    <row r="204" spans="2:17" ht="12.95" customHeight="1" x14ac:dyDescent="0.2">
      <c r="B204" s="1" t="str">
        <f>+"Increase / (Decrease) in "&amp;B152</f>
        <v>Increase / (Decrease) in Accrued Liabilities</v>
      </c>
      <c r="H204" s="38"/>
      <c r="I204" s="38"/>
      <c r="J204" s="38"/>
      <c r="K204" s="16"/>
      <c r="L204" s="16"/>
      <c r="M204" s="16"/>
      <c r="N204" s="16"/>
      <c r="O204" s="16"/>
    </row>
    <row r="205" spans="2:17" ht="12.95" customHeight="1" x14ac:dyDescent="0.2">
      <c r="B205" s="1" t="str">
        <f>+"Increase / (Decrease) in "&amp;B153</f>
        <v>Increase / (Decrease) in Deferred Revenue</v>
      </c>
      <c r="H205" s="38"/>
      <c r="I205" s="38"/>
      <c r="J205" s="38"/>
      <c r="K205" s="16"/>
      <c r="L205" s="16"/>
      <c r="M205" s="16"/>
      <c r="N205" s="16"/>
      <c r="O205" s="16"/>
    </row>
    <row r="206" spans="2:17" s="4" customFormat="1" ht="12.95" customHeight="1" x14ac:dyDescent="0.2">
      <c r="B206" s="3" t="str">
        <f>+"Increase / (Decrease) in "&amp;B156</f>
        <v>Increase / (Decrease) in Other Long-Term (Operating) Liabilities</v>
      </c>
      <c r="C206" s="3"/>
      <c r="D206" s="3"/>
      <c r="E206" s="3"/>
      <c r="F206" s="3"/>
      <c r="G206" s="3"/>
      <c r="H206" s="153"/>
      <c r="I206" s="153"/>
      <c r="J206" s="153"/>
      <c r="K206" s="66"/>
      <c r="L206" s="66"/>
      <c r="M206" s="66"/>
      <c r="N206" s="66"/>
      <c r="O206" s="66"/>
      <c r="Q206" s="1"/>
    </row>
    <row r="207" spans="2:17" s="4" customFormat="1" ht="12.95" customHeight="1" x14ac:dyDescent="0.2">
      <c r="B207" s="4" t="s">
        <v>68</v>
      </c>
      <c r="H207" s="200"/>
      <c r="I207" s="200"/>
      <c r="J207" s="200"/>
      <c r="K207" s="54"/>
      <c r="L207" s="54"/>
      <c r="M207" s="54"/>
      <c r="N207" s="54"/>
      <c r="O207" s="54"/>
      <c r="Q207" s="1"/>
    </row>
    <row r="208" spans="2:17" s="4" customFormat="1" ht="12.95" customHeight="1" x14ac:dyDescent="0.2"/>
    <row r="209" spans="1:17" s="4" customFormat="1" ht="12.95" customHeight="1" x14ac:dyDescent="0.2">
      <c r="B209" s="207" t="s">
        <v>69</v>
      </c>
      <c r="C209" s="208"/>
      <c r="D209" s="208"/>
      <c r="E209" s="208"/>
      <c r="F209" s="208"/>
      <c r="G209" s="208"/>
      <c r="H209" s="209"/>
      <c r="I209" s="209"/>
      <c r="J209" s="209"/>
      <c r="K209" s="22"/>
      <c r="L209" s="22"/>
      <c r="M209" s="22"/>
      <c r="N209" s="22"/>
      <c r="O209" s="23"/>
      <c r="Q209" s="1"/>
    </row>
    <row r="210" spans="1:17" s="4" customFormat="1" ht="12.95" customHeight="1" x14ac:dyDescent="0.2"/>
    <row r="211" spans="1:17" ht="12.95" customHeight="1" x14ac:dyDescent="0.2">
      <c r="B211" s="24" t="s">
        <v>70</v>
      </c>
    </row>
    <row r="212" spans="1:17" ht="12.95" customHeight="1" x14ac:dyDescent="0.2">
      <c r="B212" s="4" t="s">
        <v>71</v>
      </c>
      <c r="C212" s="4"/>
      <c r="D212" s="4"/>
      <c r="E212" s="4"/>
      <c r="F212" s="4"/>
      <c r="G212" s="4"/>
      <c r="H212" s="200"/>
      <c r="I212" s="200"/>
      <c r="J212" s="200"/>
      <c r="K212" s="54"/>
      <c r="L212" s="54"/>
      <c r="M212" s="54"/>
      <c r="N212" s="54"/>
      <c r="O212" s="54"/>
    </row>
    <row r="213" spans="1:17" s="76" customFormat="1" ht="12.95" customHeight="1" x14ac:dyDescent="0.2">
      <c r="B213" s="20" t="s">
        <v>72</v>
      </c>
      <c r="C213" s="21"/>
      <c r="D213" s="21"/>
      <c r="E213" s="21"/>
      <c r="F213" s="21"/>
      <c r="G213" s="21"/>
      <c r="H213" s="172"/>
      <c r="I213" s="172"/>
      <c r="J213" s="172"/>
      <c r="K213" s="22"/>
      <c r="L213" s="22"/>
      <c r="M213" s="22"/>
      <c r="N213" s="22"/>
      <c r="O213" s="23"/>
      <c r="Q213" s="1"/>
    </row>
    <row r="215" spans="1:17" ht="12.95" customHeight="1" x14ac:dyDescent="0.2">
      <c r="B215" s="24" t="s">
        <v>81</v>
      </c>
    </row>
    <row r="216" spans="1:17" ht="12.95" customHeight="1" x14ac:dyDescent="0.2">
      <c r="B216" s="1" t="s">
        <v>82</v>
      </c>
      <c r="H216" s="25"/>
      <c r="I216" s="25"/>
      <c r="J216" s="25"/>
      <c r="K216" s="16"/>
      <c r="L216" s="16"/>
      <c r="M216" s="16"/>
      <c r="N216" s="16"/>
      <c r="O216" s="16"/>
    </row>
    <row r="217" spans="1:17" ht="12.95" customHeight="1" x14ac:dyDescent="0.2">
      <c r="B217" s="3" t="s">
        <v>83</v>
      </c>
      <c r="C217" s="3"/>
      <c r="D217" s="3"/>
      <c r="E217" s="3"/>
      <c r="F217" s="3"/>
      <c r="G217" s="3"/>
      <c r="H217" s="27"/>
      <c r="I217" s="27"/>
      <c r="J217" s="27"/>
      <c r="K217" s="66"/>
      <c r="L217" s="66"/>
      <c r="M217" s="66"/>
      <c r="N217" s="66"/>
      <c r="O217" s="66"/>
    </row>
    <row r="218" spans="1:17" s="76" customFormat="1" ht="12.95" customHeight="1" x14ac:dyDescent="0.2">
      <c r="B218" s="69" t="s">
        <v>84</v>
      </c>
      <c r="C218" s="69"/>
      <c r="D218" s="69"/>
      <c r="E218" s="69"/>
      <c r="F218" s="69"/>
      <c r="G218" s="69"/>
      <c r="H218" s="210"/>
      <c r="I218" s="210"/>
      <c r="J218" s="210"/>
      <c r="K218" s="71"/>
      <c r="L218" s="71"/>
      <c r="M218" s="71"/>
      <c r="N218" s="71"/>
      <c r="O218" s="71"/>
      <c r="Q218" s="1"/>
    </row>
    <row r="220" spans="1:17" ht="12.95" customHeight="1" x14ac:dyDescent="0.2">
      <c r="B220" s="207" t="s">
        <v>87</v>
      </c>
      <c r="C220" s="208"/>
      <c r="D220" s="208"/>
      <c r="E220" s="208"/>
      <c r="F220" s="208"/>
      <c r="G220" s="208"/>
      <c r="H220" s="209"/>
      <c r="I220" s="209"/>
      <c r="J220" s="209"/>
      <c r="K220" s="22"/>
      <c r="L220" s="22"/>
      <c r="M220" s="22"/>
      <c r="N220" s="22"/>
      <c r="O220" s="2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206"/>
      <c r="M224" s="206"/>
      <c r="N224" s="206"/>
      <c r="O224" s="206"/>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11"/>
      <c r="L227" s="211"/>
      <c r="M227" s="211"/>
      <c r="N227" s="211"/>
      <c r="O227" s="211"/>
    </row>
    <row r="228" spans="2:17" s="76" customFormat="1" ht="12.95" customHeight="1" x14ac:dyDescent="0.2">
      <c r="B228" s="69" t="s">
        <v>74</v>
      </c>
      <c r="C228" s="69"/>
      <c r="D228" s="69"/>
      <c r="E228" s="69"/>
      <c r="F228" s="69"/>
      <c r="G228" s="69"/>
      <c r="H228" s="212"/>
      <c r="I228" s="212"/>
      <c r="J228" s="212"/>
      <c r="K228" s="71"/>
      <c r="L228" s="71"/>
      <c r="M228" s="71"/>
      <c r="N228" s="71"/>
      <c r="O228" s="71"/>
      <c r="Q228" s="1"/>
    </row>
    <row r="230" spans="2:17" ht="12.95" customHeight="1" x14ac:dyDescent="0.2">
      <c r="B230" s="24" t="s">
        <v>196</v>
      </c>
    </row>
    <row r="231" spans="2:17" ht="12.95" customHeight="1" x14ac:dyDescent="0.2">
      <c r="B231" s="1" t="s">
        <v>122</v>
      </c>
      <c r="K231" s="16"/>
      <c r="L231" s="16"/>
      <c r="M231" s="16"/>
      <c r="N231" s="16"/>
      <c r="O231" s="16"/>
    </row>
    <row r="232" spans="2:17" ht="12.95" customHeight="1" x14ac:dyDescent="0.2">
      <c r="B232" s="1" t="s">
        <v>123</v>
      </c>
      <c r="K232" s="16"/>
      <c r="L232" s="16"/>
      <c r="M232" s="16"/>
      <c r="N232" s="16"/>
      <c r="O232" s="16"/>
    </row>
    <row r="233" spans="2:17" s="76" customFormat="1" ht="12.95" customHeight="1" x14ac:dyDescent="0.2">
      <c r="B233" s="20" t="s">
        <v>75</v>
      </c>
      <c r="C233" s="21"/>
      <c r="D233" s="21"/>
      <c r="E233" s="21"/>
      <c r="F233" s="21"/>
      <c r="G233" s="21"/>
      <c r="H233" s="21"/>
      <c r="I233" s="21"/>
      <c r="J233" s="21"/>
      <c r="K233" s="22"/>
      <c r="L233" s="22"/>
      <c r="M233" s="22"/>
      <c r="N233" s="22"/>
      <c r="O233" s="23"/>
      <c r="Q233" s="1"/>
    </row>
    <row r="235" spans="2:17" ht="12.95" customHeight="1" x14ac:dyDescent="0.2">
      <c r="B235" s="1" t="s">
        <v>76</v>
      </c>
      <c r="H235" s="38"/>
      <c r="I235" s="38"/>
      <c r="J235" s="38"/>
      <c r="K235" s="16"/>
      <c r="L235" s="16"/>
      <c r="M235" s="16"/>
      <c r="N235" s="16"/>
      <c r="O235" s="16"/>
    </row>
    <row r="236" spans="2:17" ht="12.95" customHeight="1" x14ac:dyDescent="0.2">
      <c r="B236" s="4" t="s">
        <v>77</v>
      </c>
      <c r="C236" s="4"/>
      <c r="D236" s="4"/>
      <c r="E236" s="4"/>
      <c r="F236" s="4"/>
      <c r="G236" s="4"/>
      <c r="H236" s="150"/>
      <c r="I236" s="150"/>
      <c r="J236" s="150"/>
      <c r="K236" s="35"/>
      <c r="L236" s="35"/>
      <c r="M236" s="35"/>
      <c r="N236" s="35"/>
      <c r="O236" s="35"/>
    </row>
    <row r="237" spans="2:17" ht="12.95" customHeight="1" x14ac:dyDescent="0.2">
      <c r="B237" s="4" t="s">
        <v>78</v>
      </c>
      <c r="C237" s="4"/>
      <c r="D237" s="4"/>
      <c r="E237" s="4"/>
      <c r="F237" s="4"/>
      <c r="G237" s="4"/>
      <c r="H237" s="150"/>
      <c r="I237" s="150"/>
      <c r="J237" s="150"/>
      <c r="K237" s="35"/>
      <c r="L237" s="35"/>
      <c r="M237" s="35"/>
      <c r="N237" s="35"/>
      <c r="O237" s="35"/>
    </row>
    <row r="238" spans="2:17" s="76" customFormat="1" ht="12.95" customHeight="1" x14ac:dyDescent="0.2">
      <c r="B238" s="20" t="s">
        <v>86</v>
      </c>
      <c r="C238" s="21"/>
      <c r="D238" s="21"/>
      <c r="E238" s="21"/>
      <c r="F238" s="21"/>
      <c r="G238" s="21"/>
      <c r="H238" s="172"/>
      <c r="I238" s="172"/>
      <c r="J238" s="172"/>
      <c r="K238" s="22"/>
      <c r="L238" s="22"/>
      <c r="M238" s="22"/>
      <c r="N238" s="22"/>
      <c r="O238" s="23"/>
      <c r="Q238" s="1"/>
    </row>
    <row r="240" spans="2:17" s="76" customFormat="1" ht="12.95" customHeight="1" x14ac:dyDescent="0.2">
      <c r="B240" s="24" t="s">
        <v>79</v>
      </c>
    </row>
    <row r="241" spans="1:17" ht="12.95" customHeight="1" x14ac:dyDescent="0.2">
      <c r="B241" s="1" t="str">
        <f>+B159</f>
        <v>Revolving Credit Facility</v>
      </c>
      <c r="K241" s="16"/>
      <c r="L241" s="16"/>
      <c r="M241" s="16"/>
      <c r="N241" s="16"/>
      <c r="O241" s="16"/>
      <c r="Q241" s="174"/>
    </row>
    <row r="242" spans="1:17" ht="12.95" customHeight="1" x14ac:dyDescent="0.2">
      <c r="B242" s="1" t="str">
        <f>+B160</f>
        <v>First Lien Term Loan</v>
      </c>
      <c r="K242" s="16"/>
      <c r="L242" s="16"/>
      <c r="M242" s="16"/>
      <c r="N242" s="16"/>
      <c r="O242" s="16"/>
      <c r="Q242" s="4"/>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c r="L245" s="71"/>
      <c r="M245" s="71"/>
      <c r="N245" s="71"/>
      <c r="O245" s="71"/>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c r="L254" s="54"/>
      <c r="M254" s="54"/>
      <c r="N254" s="54"/>
      <c r="O254" s="54"/>
      <c r="Q254" s="174"/>
    </row>
    <row r="255" spans="1:17" ht="12.95" customHeight="1" x14ac:dyDescent="0.2">
      <c r="B255" s="3" t="s">
        <v>94</v>
      </c>
      <c r="C255" s="3"/>
      <c r="D255" s="3"/>
      <c r="E255" s="3"/>
      <c r="F255" s="3"/>
      <c r="G255" s="3"/>
      <c r="H255" s="3"/>
      <c r="I255" s="3"/>
      <c r="J255" s="3"/>
      <c r="K255" s="66"/>
      <c r="L255" s="66"/>
      <c r="M255" s="66"/>
      <c r="N255" s="66"/>
      <c r="O255" s="66"/>
      <c r="Q255" s="174"/>
    </row>
    <row r="256" spans="1:17" ht="12.95" customHeight="1" x14ac:dyDescent="0.2">
      <c r="B256" s="69" t="s">
        <v>192</v>
      </c>
      <c r="C256" s="69"/>
      <c r="D256" s="69"/>
      <c r="E256" s="69"/>
      <c r="F256" s="69"/>
      <c r="G256" s="69"/>
      <c r="H256" s="69"/>
      <c r="I256" s="69"/>
      <c r="J256" s="69"/>
      <c r="K256" s="71"/>
      <c r="L256" s="71"/>
      <c r="M256" s="71"/>
      <c r="N256" s="71"/>
      <c r="O256" s="71"/>
      <c r="Q256" s="174"/>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c r="K258" s="35"/>
      <c r="L258" s="35"/>
      <c r="M258" s="35"/>
      <c r="N258" s="35"/>
      <c r="O258" s="35"/>
      <c r="Q258" s="174"/>
    </row>
    <row r="259" spans="2:17" s="4" customFormat="1" ht="12.95" customHeight="1" x14ac:dyDescent="0.2">
      <c r="B259" s="4" t="s">
        <v>149</v>
      </c>
      <c r="G259" s="4" t="s">
        <v>96</v>
      </c>
      <c r="I259" s="217">
        <v>350</v>
      </c>
      <c r="K259" s="55"/>
      <c r="L259" s="55"/>
      <c r="M259" s="55"/>
      <c r="N259" s="55"/>
      <c r="O259" s="55"/>
      <c r="Q259" s="174"/>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74"/>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row>
    <row r="268" spans="2:17" s="4" customFormat="1" ht="12.95" customHeight="1" x14ac:dyDescent="0.2">
      <c r="B268" s="33" t="s">
        <v>92</v>
      </c>
      <c r="G268" s="4" t="s">
        <v>97</v>
      </c>
      <c r="I268" s="219">
        <v>0.02</v>
      </c>
      <c r="K268" s="35"/>
      <c r="L268" s="35"/>
      <c r="M268" s="35"/>
      <c r="N268" s="35"/>
      <c r="O268" s="35"/>
    </row>
    <row r="269" spans="2:17" ht="12.95" customHeight="1" x14ac:dyDescent="0.2">
      <c r="B269" s="3" t="s">
        <v>89</v>
      </c>
      <c r="C269" s="3"/>
      <c r="D269" s="3"/>
      <c r="E269" s="3"/>
      <c r="F269" s="3"/>
      <c r="G269" s="3"/>
      <c r="H269" s="3"/>
      <c r="I269" s="3"/>
      <c r="J269" s="3"/>
      <c r="K269" s="66"/>
      <c r="L269" s="66"/>
      <c r="M269" s="66"/>
      <c r="N269" s="66"/>
      <c r="O269" s="66"/>
      <c r="Q269" s="4"/>
    </row>
    <row r="270" spans="2:17" ht="12.95" customHeight="1" x14ac:dyDescent="0.2">
      <c r="B270" s="69" t="s">
        <v>192</v>
      </c>
      <c r="C270" s="69"/>
      <c r="D270" s="69"/>
      <c r="E270" s="69"/>
      <c r="F270" s="69"/>
      <c r="G270" s="69"/>
      <c r="H270" s="4"/>
      <c r="I270" s="69"/>
      <c r="J270" s="69"/>
      <c r="K270" s="71"/>
      <c r="L270" s="71"/>
      <c r="M270" s="71"/>
      <c r="N270" s="71"/>
      <c r="O270" s="71"/>
      <c r="Q270" s="4"/>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4"/>
    </row>
    <row r="273" spans="2:17" ht="12.95" customHeight="1" x14ac:dyDescent="0.2">
      <c r="B273" s="1" t="s">
        <v>149</v>
      </c>
      <c r="G273" s="4" t="s">
        <v>96</v>
      </c>
      <c r="I273" s="218">
        <v>350</v>
      </c>
      <c r="K273" s="55"/>
      <c r="L273" s="55"/>
      <c r="M273" s="55"/>
      <c r="N273" s="55"/>
      <c r="O273" s="55"/>
      <c r="Q273" s="4"/>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K323" s="54"/>
      <c r="L323" s="54"/>
      <c r="M323" s="54"/>
      <c r="N323" s="54"/>
      <c r="O323" s="54"/>
    </row>
    <row r="324" spans="2:17" ht="12.95" customHeight="1" x14ac:dyDescent="0.2">
      <c r="B324" s="4" t="s">
        <v>200</v>
      </c>
      <c r="C324" s="4"/>
      <c r="D324" s="4"/>
      <c r="E324" s="4"/>
      <c r="F324" s="4"/>
      <c r="G324" s="4"/>
      <c r="H324" s="4"/>
      <c r="I324" s="4"/>
      <c r="J324" s="4"/>
      <c r="K324" s="253"/>
      <c r="L324" s="253"/>
      <c r="M324" s="253"/>
      <c r="N324" s="253"/>
      <c r="O324" s="253"/>
    </row>
    <row r="325" spans="2:17" ht="12.95" customHeight="1" x14ac:dyDescent="0.2">
      <c r="B325" s="226" t="s">
        <v>201</v>
      </c>
      <c r="C325" s="226"/>
      <c r="D325" s="226"/>
      <c r="E325" s="226"/>
      <c r="F325" s="226"/>
      <c r="G325" s="226"/>
      <c r="H325" s="226"/>
      <c r="I325" s="226"/>
      <c r="J325" s="226"/>
      <c r="K325" s="37"/>
      <c r="L325" s="37"/>
      <c r="M325" s="37"/>
      <c r="N325" s="37"/>
      <c r="O325" s="37"/>
    </row>
    <row r="326" spans="2:17" ht="12.95" customHeight="1" x14ac:dyDescent="0.2">
      <c r="B326" s="1" t="s">
        <v>202</v>
      </c>
      <c r="K326" s="16"/>
      <c r="L326" s="16"/>
      <c r="M326" s="16"/>
      <c r="N326" s="16"/>
      <c r="O326" s="16"/>
    </row>
    <row r="327" spans="2:17" ht="12.95" customHeight="1" x14ac:dyDescent="0.2">
      <c r="B327" s="4" t="s">
        <v>203</v>
      </c>
      <c r="C327" s="4"/>
      <c r="D327" s="4"/>
      <c r="E327" s="4"/>
      <c r="F327" s="4"/>
      <c r="G327" s="4"/>
      <c r="H327" s="4"/>
      <c r="I327" s="4"/>
      <c r="J327" s="4"/>
      <c r="K327" s="35"/>
      <c r="L327" s="35"/>
      <c r="M327" s="35"/>
      <c r="N327" s="35"/>
      <c r="O327" s="35"/>
    </row>
    <row r="328" spans="2:17" ht="12.95" customHeight="1" x14ac:dyDescent="0.2">
      <c r="B328" s="226" t="s">
        <v>204</v>
      </c>
      <c r="C328" s="226"/>
      <c r="D328" s="226"/>
      <c r="E328" s="226"/>
      <c r="F328" s="226"/>
      <c r="G328" s="226"/>
      <c r="H328" s="226"/>
      <c r="I328" s="226"/>
      <c r="J328" s="226"/>
      <c r="K328" s="37"/>
      <c r="L328" s="37"/>
      <c r="M328" s="37"/>
      <c r="N328" s="37"/>
      <c r="O328" s="37"/>
    </row>
    <row r="329" spans="2:17" ht="12.95" customHeight="1" x14ac:dyDescent="0.2">
      <c r="B329" s="3" t="s">
        <v>336</v>
      </c>
      <c r="C329" s="3"/>
      <c r="D329" s="3"/>
      <c r="E329" s="3"/>
      <c r="F329" s="3"/>
      <c r="G329" s="3"/>
      <c r="H329" s="3"/>
      <c r="I329" s="3"/>
      <c r="J329" s="3"/>
      <c r="K329" s="66"/>
      <c r="L329" s="66"/>
      <c r="M329" s="66"/>
      <c r="N329" s="66"/>
      <c r="O329" s="66"/>
    </row>
    <row r="330" spans="2:17" ht="12.95" customHeight="1" x14ac:dyDescent="0.2">
      <c r="B330" s="69" t="s">
        <v>207</v>
      </c>
      <c r="C330" s="69"/>
      <c r="D330" s="69"/>
      <c r="E330" s="69"/>
      <c r="F330" s="69"/>
      <c r="G330" s="69"/>
      <c r="H330" s="69"/>
      <c r="I330" s="69"/>
      <c r="J330" s="69"/>
      <c r="K330" s="71"/>
      <c r="L330" s="71"/>
      <c r="M330" s="71"/>
      <c r="N330" s="71"/>
      <c r="O330" s="71"/>
    </row>
    <row r="332" spans="2:17" ht="12.95" customHeight="1" x14ac:dyDescent="0.2">
      <c r="F332" s="1" t="s">
        <v>205</v>
      </c>
      <c r="J332" s="250"/>
      <c r="K332" s="15"/>
      <c r="L332" s="15"/>
      <c r="M332" s="15"/>
      <c r="N332" s="15"/>
      <c r="O332" s="15"/>
    </row>
    <row r="334" spans="2:17" ht="12.95" customHeight="1" x14ac:dyDescent="0.2">
      <c r="F334" s="1" t="s">
        <v>208</v>
      </c>
      <c r="K334" s="254"/>
      <c r="L334" s="254"/>
      <c r="M334" s="254"/>
      <c r="N334" s="254"/>
      <c r="O334" s="254"/>
    </row>
    <row r="335" spans="2:17" customFormat="1" ht="3" customHeight="1" x14ac:dyDescent="0.25">
      <c r="Q335" s="1"/>
    </row>
    <row r="336" spans="2:17"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1784-5F11-4F6D-8EE3-77E3E260E0E9}">
  <dimension ref="A2:X342"/>
  <sheetViews>
    <sheetView showGridLines="0" topLeftCell="A269" zoomScale="115" zoomScaleNormal="115" zoomScaleSheetLayoutView="85" workbookViewId="0">
      <selection activeCell="B280" sqref="B280"/>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c r="L139" s="221"/>
      <c r="M139" s="221"/>
      <c r="N139" s="221"/>
      <c r="O139" s="221"/>
      <c r="Q139" s="1"/>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si="13"/>
        <v>182.96286050053121</v>
      </c>
      <c r="L143" s="238">
        <f t="shared" si="13"/>
        <v>195.52950228475203</v>
      </c>
      <c r="M143" s="238">
        <f t="shared" si="13"/>
        <v>208.95895590231126</v>
      </c>
      <c r="N143" s="238">
        <f t="shared" si="13"/>
        <v>223.31043846513344</v>
      </c>
      <c r="O143" s="238">
        <f t="shared" si="13"/>
        <v>238.64722970282941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si="14"/>
        <v>2137.5559154857301</v>
      </c>
      <c r="L149" s="240">
        <f t="shared" si="14"/>
        <v>2153.2616405183794</v>
      </c>
      <c r="M149" s="240">
        <f t="shared" si="14"/>
        <v>2169.662867136642</v>
      </c>
      <c r="N149" s="240">
        <f t="shared" si="14"/>
        <v>2186.7629203555853</v>
      </c>
      <c r="O149" s="241">
        <f t="shared" si="14"/>
        <v>2204.5621827346149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+K256</f>
        <v>0</v>
      </c>
      <c r="L159" s="35">
        <f>+L256</f>
        <v>0</v>
      </c>
      <c r="M159" s="35">
        <f>+M256</f>
        <v>0</v>
      </c>
      <c r="N159" s="35">
        <f>+N256</f>
        <v>0</v>
      </c>
      <c r="O159" s="35">
        <f>+O256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f>+K270</f>
        <v>264.8352818440361</v>
      </c>
      <c r="L160" s="35">
        <f>+L270</f>
        <v>136.90475706452503</v>
      </c>
      <c r="M160" s="35">
        <f>+M270</f>
        <v>0</v>
      </c>
      <c r="N160" s="35">
        <f>+N270</f>
        <v>0</v>
      </c>
      <c r="O160" s="35">
        <f>+O270</f>
        <v>0</v>
      </c>
      <c r="Q160" s="174"/>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c r="L161" s="35"/>
      <c r="M161" s="35"/>
      <c r="N161" s="35"/>
      <c r="O161" s="35"/>
      <c r="Q161" s="174" t="s">
        <v>265</v>
      </c>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si="16"/>
        <v>264.8352818440361</v>
      </c>
      <c r="L163" s="238">
        <f t="shared" si="16"/>
        <v>136.90475706452503</v>
      </c>
      <c r="M163" s="238">
        <f t="shared" si="16"/>
        <v>0</v>
      </c>
      <c r="N163" s="238">
        <f t="shared" si="16"/>
        <v>0</v>
      </c>
      <c r="O163" s="238">
        <f t="shared" si="16"/>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+J165+K113</f>
        <v>1024.7429196329997</v>
      </c>
      <c r="L165" s="35">
        <f>+K165+L113</f>
        <v>1161.8023720306196</v>
      </c>
      <c r="M165" s="35">
        <f>+L165+M113</f>
        <v>1311.7253341803346</v>
      </c>
      <c r="N165" s="35">
        <f>+M165+N113</f>
        <v>1475.6411061306896</v>
      </c>
      <c r="O165" s="35">
        <f>+N165+O113</f>
        <v>1654.7740587392409</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si="17"/>
        <v>1461.1525704857304</v>
      </c>
      <c r="L166" s="22">
        <f t="shared" si="17"/>
        <v>1481.8582955183797</v>
      </c>
      <c r="M166" s="22">
        <f t="shared" si="17"/>
        <v>1507.2333352480032</v>
      </c>
      <c r="N166" s="22">
        <f t="shared" si="17"/>
        <v>1684.3384579775388</v>
      </c>
      <c r="O166" s="23">
        <f t="shared" si="17"/>
        <v>1877.5492812691241</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1</v>
      </c>
      <c r="L168" s="175">
        <f t="shared" si="18"/>
        <v>1</v>
      </c>
      <c r="M168" s="175">
        <f t="shared" si="18"/>
        <v>1</v>
      </c>
      <c r="N168" s="175">
        <f t="shared" si="18"/>
        <v>1</v>
      </c>
      <c r="O168" s="175">
        <f t="shared" si="18"/>
        <v>1</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22.413878491836641</v>
      </c>
      <c r="L186" s="200">
        <f>+(L143-L139)-L154</f>
        <v>24.17549995151694</v>
      </c>
      <c r="M186" s="200">
        <f>+(M143-M139)-M154</f>
        <v>26.073920410942577</v>
      </c>
      <c r="N186" s="200">
        <f>+(N143-N139)-N154</f>
        <v>28.11965978492529</v>
      </c>
      <c r="O186" s="200">
        <f>+(O143-O139)-O154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+K186/K171</f>
        <v>2.0329334917528644E-2</v>
      </c>
      <c r="L187" s="203">
        <f>+L186/L171</f>
        <v>2.0492636846519387E-2</v>
      </c>
      <c r="M187" s="203">
        <f>+M186/M171</f>
        <v>2.0655938775510207E-2</v>
      </c>
      <c r="N187" s="203">
        <f>+N186/N171</f>
        <v>2.0819240704500967E-2</v>
      </c>
      <c r="O187" s="203">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+K113</f>
        <v>125.23737093299992</v>
      </c>
      <c r="L193" s="15">
        <f>+L113</f>
        <v>137.05945239761996</v>
      </c>
      <c r="M193" s="15">
        <f>+M113</f>
        <v>149.92296214971503</v>
      </c>
      <c r="N193" s="15">
        <f>+N113</f>
        <v>163.91577195035512</v>
      </c>
      <c r="O193" s="15">
        <f>+O113</f>
        <v>179.13295260855125</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c r="L196" s="62"/>
      <c r="M196" s="62"/>
      <c r="N196" s="62"/>
      <c r="O196" s="62"/>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19">+(J140-K140)</f>
        <v>-4.5168657534246393</v>
      </c>
      <c r="L199" s="16">
        <f t="shared" si="19"/>
        <v>-6.3433733424657532</v>
      </c>
      <c r="M199" s="16">
        <f t="shared" si="19"/>
        <v>-6.7874094764383699</v>
      </c>
      <c r="N199" s="16">
        <f t="shared" si="19"/>
        <v>-7.2625281397890546</v>
      </c>
      <c r="O199" s="16">
        <f t="shared" si="19"/>
        <v>-7.7709051095742865</v>
      </c>
    </row>
    <row r="200" spans="2:15" ht="12.95" customHeight="1" x14ac:dyDescent="0.2">
      <c r="B200" s="1" t="str">
        <f>+"(Increase) / Decrease in "&amp;B141</f>
        <v>(Increase) / Decrease in Inventories</v>
      </c>
      <c r="H200" s="38"/>
      <c r="I200" s="38"/>
      <c r="J200" s="38"/>
      <c r="K200" s="16">
        <f t="shared" si="19"/>
        <v>-4.2586686249870525</v>
      </c>
      <c r="L200" s="16">
        <f t="shared" si="19"/>
        <v>-4.2166480077551114</v>
      </c>
      <c r="M200" s="16">
        <f t="shared" si="19"/>
        <v>-4.4949602767408265</v>
      </c>
      <c r="N200" s="16">
        <f t="shared" si="19"/>
        <v>-4.7915746881465395</v>
      </c>
      <c r="O200" s="16">
        <f t="shared" si="19"/>
        <v>-5.1076898117930227</v>
      </c>
    </row>
    <row r="201" spans="2:15" ht="12.95" customHeight="1" x14ac:dyDescent="0.2">
      <c r="B201" s="1" t="str">
        <f>+"(Increase) / Decrease in "&amp;B142</f>
        <v>(Increase) / Decrease in Prepaid Expenses</v>
      </c>
      <c r="H201" s="38"/>
      <c r="I201" s="38"/>
      <c r="J201" s="38"/>
      <c r="K201" s="16">
        <f t="shared" si="19"/>
        <v>-0.84493619999999936</v>
      </c>
      <c r="L201" s="16">
        <f t="shared" si="19"/>
        <v>-2.0066204339999985</v>
      </c>
      <c r="M201" s="16">
        <f t="shared" si="19"/>
        <v>-2.1470838643800079</v>
      </c>
      <c r="N201" s="16">
        <f t="shared" si="19"/>
        <v>-2.2973797348865972</v>
      </c>
      <c r="O201" s="16">
        <f t="shared" si="19"/>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20">+K151-J151</f>
        <v>5.1904433589041119</v>
      </c>
      <c r="L203" s="16">
        <f t="shared" si="20"/>
        <v>3.396423326794519</v>
      </c>
      <c r="M203" s="16">
        <f t="shared" si="20"/>
        <v>3.62059814071727</v>
      </c>
      <c r="N203" s="16">
        <f t="shared" si="20"/>
        <v>3.8595149542878886</v>
      </c>
      <c r="O203" s="16">
        <f t="shared" si="20"/>
        <v>4.1141391908688973</v>
      </c>
    </row>
    <row r="204" spans="2:15" ht="12.95" customHeight="1" x14ac:dyDescent="0.2">
      <c r="B204" s="1" t="str">
        <f>+"Increase / (Decrease) in "&amp;B152</f>
        <v>Increase / (Decrease) in Accrued Liabilities</v>
      </c>
      <c r="H204" s="38"/>
      <c r="I204" s="38"/>
      <c r="J204" s="38"/>
      <c r="K204" s="16">
        <f t="shared" si="20"/>
        <v>5.0838265539000034</v>
      </c>
      <c r="L204" s="16">
        <f t="shared" si="20"/>
        <v>3.5497115477460071</v>
      </c>
      <c r="M204" s="16">
        <f t="shared" si="20"/>
        <v>3.7814275859163331</v>
      </c>
      <c r="N204" s="16">
        <f t="shared" si="20"/>
        <v>4.0281902828465519</v>
      </c>
      <c r="O204" s="16">
        <f t="shared" si="20"/>
        <v>4.2909707621760305</v>
      </c>
    </row>
    <row r="205" spans="2:15" ht="12.95" customHeight="1" x14ac:dyDescent="0.2">
      <c r="B205" s="1" t="str">
        <f>+"Increase / (Decrease) in "&amp;B153</f>
        <v>Increase / (Decrease) in Deferred Revenue</v>
      </c>
      <c r="H205" s="38"/>
      <c r="I205" s="38"/>
      <c r="J205" s="38"/>
      <c r="K205" s="16">
        <f t="shared" si="20"/>
        <v>11.334509999999995</v>
      </c>
      <c r="L205" s="16">
        <f t="shared" si="20"/>
        <v>3.8588854500000025</v>
      </c>
      <c r="M205" s="16">
        <f t="shared" si="20"/>
        <v>4.129007431500014</v>
      </c>
      <c r="N205" s="16">
        <f t="shared" si="20"/>
        <v>4.4180379517050028</v>
      </c>
      <c r="O205" s="16">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+SUM(K193:K196,K207)</f>
        <v>175.29341420596378</v>
      </c>
      <c r="L209" s="22">
        <f>+SUM(L193:L196,L207)</f>
        <v>182.47861395751107</v>
      </c>
      <c r="M209" s="22">
        <f>+SUM(M193:M196,M207)</f>
        <v>199.52617387516088</v>
      </c>
      <c r="N209" s="22">
        <f>+SUM(N193:N196,N207)</f>
        <v>218.08333412714893</v>
      </c>
      <c r="O209" s="23">
        <f>+SUM(O193:O196,O207)</f>
        <v>238.27790571668606</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c r="L216" s="16"/>
      <c r="M216" s="16"/>
      <c r="N216" s="16"/>
      <c r="O216" s="16"/>
    </row>
    <row r="217" spans="1:15" ht="12.95" customHeight="1" x14ac:dyDescent="0.2">
      <c r="B217" s="3" t="s">
        <v>83</v>
      </c>
      <c r="C217" s="3"/>
      <c r="D217" s="3"/>
      <c r="E217" s="3"/>
      <c r="F217" s="3"/>
      <c r="G217" s="3"/>
      <c r="H217" s="27"/>
      <c r="I217" s="27"/>
      <c r="J217" s="27"/>
      <c r="K217" s="66"/>
      <c r="L217" s="66"/>
      <c r="M217" s="66"/>
      <c r="N217" s="66"/>
      <c r="O217" s="66"/>
    </row>
    <row r="218" spans="1:15" s="76" customFormat="1" ht="12.95" customHeight="1" x14ac:dyDescent="0.2">
      <c r="B218" s="69" t="s">
        <v>84</v>
      </c>
      <c r="C218" s="69"/>
      <c r="D218" s="69"/>
      <c r="E218" s="69"/>
      <c r="F218" s="69"/>
      <c r="G218" s="69"/>
      <c r="H218" s="210"/>
      <c r="I218" s="210"/>
      <c r="J218" s="210"/>
      <c r="K218" s="71">
        <f>+SUM(K216:K217)</f>
        <v>0</v>
      </c>
      <c r="L218" s="71">
        <f>+SUM(L216:L217)</f>
        <v>0</v>
      </c>
      <c r="M218" s="71">
        <f>+SUM(M216:M217)</f>
        <v>0</v>
      </c>
      <c r="N218" s="71">
        <f>+SUM(N216:N217)</f>
        <v>0</v>
      </c>
      <c r="O218" s="71">
        <f>+SUM(O216:O217)</f>
        <v>0</v>
      </c>
    </row>
    <row r="220" spans="1:15" ht="12.95" customHeight="1" x14ac:dyDescent="0.2">
      <c r="B220" s="207" t="s">
        <v>87</v>
      </c>
      <c r="C220" s="208"/>
      <c r="D220" s="208"/>
      <c r="E220" s="208"/>
      <c r="F220" s="208"/>
      <c r="G220" s="208"/>
      <c r="H220" s="209"/>
      <c r="I220" s="209"/>
      <c r="J220" s="209"/>
      <c r="K220" s="22">
        <f>+K209+K213+K218</f>
        <v>129.53805815596377</v>
      </c>
      <c r="L220" s="22">
        <f>+L209+L213+L218</f>
        <v>132.93052477951107</v>
      </c>
      <c r="M220" s="22">
        <f>+M209+M213+M218</f>
        <v>145.87857017588587</v>
      </c>
      <c r="N220" s="22">
        <f>+N209+N213+N218</f>
        <v>160.00506951059262</v>
      </c>
      <c r="O220" s="2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+L268</f>
        <v>-7.787466799999998</v>
      </c>
      <c r="M227" s="211">
        <f>+M268</f>
        <v>-7.787466799999998</v>
      </c>
      <c r="N227" s="211">
        <f>+N268</f>
        <v>0</v>
      </c>
      <c r="O227" s="211">
        <f>+O268</f>
        <v>0</v>
      </c>
    </row>
    <row r="228" spans="2:15" s="76" customFormat="1" ht="12.95" customHeight="1" x14ac:dyDescent="0.2">
      <c r="B228" s="69" t="s">
        <v>74</v>
      </c>
      <c r="C228" s="69"/>
      <c r="D228" s="69"/>
      <c r="E228" s="69"/>
      <c r="F228" s="69"/>
      <c r="G228" s="69"/>
      <c r="H228" s="212"/>
      <c r="I228" s="212"/>
      <c r="J228" s="212"/>
      <c r="K228" s="71">
        <f>+SUM(K227)</f>
        <v>-7.787466799999998</v>
      </c>
      <c r="L228" s="71">
        <f>+SUM(L227)</f>
        <v>-7.787466799999998</v>
      </c>
      <c r="M228" s="71">
        <f>+SUM(M227)</f>
        <v>-7.787466799999998</v>
      </c>
      <c r="N228" s="71">
        <f>+SUM(N227)</f>
        <v>0</v>
      </c>
      <c r="O228" s="71">
        <f>+SUM(O227)</f>
        <v>0</v>
      </c>
    </row>
    <row r="230" spans="2:15" ht="12.95" customHeight="1" x14ac:dyDescent="0.2">
      <c r="B230" s="24" t="s">
        <v>196</v>
      </c>
    </row>
    <row r="231" spans="2:15" ht="12.95" customHeight="1" x14ac:dyDescent="0.2">
      <c r="B231" s="1" t="s">
        <v>122</v>
      </c>
      <c r="K231" s="16">
        <f>+K209+K213</f>
        <v>129.53805815596377</v>
      </c>
      <c r="L231" s="16">
        <f>+L209+L213</f>
        <v>132.93052477951107</v>
      </c>
      <c r="M231" s="16">
        <f>+M209+M213</f>
        <v>145.87857017588587</v>
      </c>
      <c r="N231" s="16">
        <f>+N209+N213</f>
        <v>160.00506951059262</v>
      </c>
      <c r="O231" s="16">
        <f>+O209+O213</f>
        <v>175.4115609125555</v>
      </c>
    </row>
    <row r="232" spans="2:15" ht="12.95" customHeight="1" x14ac:dyDescent="0.2">
      <c r="B232" s="1" t="s">
        <v>123</v>
      </c>
      <c r="K232" s="16">
        <f>+K228</f>
        <v>-7.787466799999998</v>
      </c>
      <c r="L232" s="16">
        <f>+L228</f>
        <v>-7.787466799999998</v>
      </c>
      <c r="M232" s="16">
        <f>+M228</f>
        <v>-7.787466799999998</v>
      </c>
      <c r="N232" s="16">
        <f>+N228</f>
        <v>0</v>
      </c>
      <c r="O232" s="16">
        <f>+O228</f>
        <v>0</v>
      </c>
    </row>
    <row r="233" spans="2:15" s="76" customFormat="1" ht="12.95" customHeight="1" x14ac:dyDescent="0.2">
      <c r="B233" s="20" t="s">
        <v>75</v>
      </c>
      <c r="C233" s="21"/>
      <c r="D233" s="21"/>
      <c r="E233" s="21"/>
      <c r="F233" s="21"/>
      <c r="G233" s="21"/>
      <c r="H233" s="21"/>
      <c r="I233" s="21"/>
      <c r="J233" s="21"/>
      <c r="K233" s="22">
        <f>SUM(K231:K232)</f>
        <v>121.75059135596376</v>
      </c>
      <c r="L233" s="22">
        <f>SUM(L231:L232)</f>
        <v>125.14305797951107</v>
      </c>
      <c r="M233" s="22">
        <f>SUM(M231:M232)</f>
        <v>138.09110337588587</v>
      </c>
      <c r="N233" s="22">
        <f>SUM(N231:N232)</f>
        <v>160.00506951059262</v>
      </c>
      <c r="O233" s="23">
        <f>SUM(O231:O232)</f>
        <v>175.4115609125555</v>
      </c>
    </row>
    <row r="235" spans="2:15" ht="12.95" customHeight="1" x14ac:dyDescent="0.2">
      <c r="B235" s="1" t="s">
        <v>76</v>
      </c>
      <c r="H235" s="38"/>
      <c r="I235" s="38"/>
      <c r="J235" s="38"/>
      <c r="K235" s="16">
        <f>+J139</f>
        <v>0</v>
      </c>
      <c r="L235" s="16">
        <f>+K139</f>
        <v>0</v>
      </c>
      <c r="M235" s="16">
        <f>+L139</f>
        <v>0</v>
      </c>
      <c r="N235" s="16">
        <f>+M139</f>
        <v>0</v>
      </c>
      <c r="O235" s="16">
        <f>+N139</f>
        <v>0</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+K233</f>
        <v>121.75059135596376</v>
      </c>
      <c r="L237" s="35">
        <f>+L233</f>
        <v>125.14305797951107</v>
      </c>
      <c r="M237" s="35">
        <f>+M233</f>
        <v>138.09110337588587</v>
      </c>
      <c r="N237" s="35">
        <f>+N233</f>
        <v>160.00506951059262</v>
      </c>
      <c r="O237" s="35">
        <f>+O233</f>
        <v>175.4115609125555</v>
      </c>
    </row>
    <row r="238" spans="2:15" s="76" customFormat="1" ht="12.95" customHeight="1" x14ac:dyDescent="0.2">
      <c r="B238" s="20" t="s">
        <v>86</v>
      </c>
      <c r="C238" s="21"/>
      <c r="D238" s="21"/>
      <c r="E238" s="21"/>
      <c r="F238" s="21"/>
      <c r="G238" s="21"/>
      <c r="H238" s="172"/>
      <c r="I238" s="172"/>
      <c r="J238" s="172"/>
      <c r="K238" s="22">
        <f>SUM(K235:K237)</f>
        <v>116.75059135596376</v>
      </c>
      <c r="L238" s="22">
        <f>SUM(L235:L237)</f>
        <v>120.14305797951107</v>
      </c>
      <c r="M238" s="22">
        <f>SUM(M235:M237)</f>
        <v>133.09110337588587</v>
      </c>
      <c r="N238" s="22">
        <f>SUM(N235:N237)</f>
        <v>155.00506951059262</v>
      </c>
      <c r="O238" s="23">
        <f>SUM(O235:O237)</f>
        <v>170.4115609125555</v>
      </c>
    </row>
    <row r="240" spans="2:15" s="76" customFormat="1" ht="12.95" customHeight="1" x14ac:dyDescent="0.2">
      <c r="B240" s="24" t="s">
        <v>79</v>
      </c>
    </row>
    <row r="241" spans="1:17" ht="12.95" customHeight="1" x14ac:dyDescent="0.2">
      <c r="B241" s="1" t="str">
        <f>+B159</f>
        <v>Revolving Credit Facility</v>
      </c>
      <c r="K241" s="16">
        <f>+K255</f>
        <v>0</v>
      </c>
      <c r="L241" s="16">
        <f>+L255</f>
        <v>0</v>
      </c>
      <c r="M241" s="16">
        <f>+M255</f>
        <v>0</v>
      </c>
      <c r="N241" s="16">
        <f>+N255</f>
        <v>0</v>
      </c>
      <c r="O241" s="16">
        <f>+O255</f>
        <v>0</v>
      </c>
    </row>
    <row r="242" spans="1:17" ht="12.95" customHeight="1" x14ac:dyDescent="0.2">
      <c r="B242" s="1" t="str">
        <f>+B160</f>
        <v>First Lien Term Loan</v>
      </c>
      <c r="K242" s="16">
        <f>+K269</f>
        <v>-116.75059135596376</v>
      </c>
      <c r="L242" s="16">
        <f>+L269</f>
        <v>-120.14305797951107</v>
      </c>
      <c r="M242" s="16">
        <f>+M269</f>
        <v>-129.11729026452502</v>
      </c>
      <c r="N242" s="16">
        <f>+N269</f>
        <v>0</v>
      </c>
      <c r="O242" s="16">
        <f>+O269</f>
        <v>0</v>
      </c>
    </row>
    <row r="243" spans="1:17" ht="12.95" customHeight="1" x14ac:dyDescent="0.2">
      <c r="B243" s="1" t="str">
        <f>+B161</f>
        <v>Second Lien Term Loan</v>
      </c>
      <c r="K243" s="16"/>
      <c r="L243" s="16"/>
      <c r="M243" s="16"/>
      <c r="N243" s="16"/>
      <c r="O243" s="16"/>
      <c r="Q243" s="174" t="s">
        <v>263</v>
      </c>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f>SUM(K241:K244)</f>
        <v>-116.75059135596376</v>
      </c>
      <c r="L245" s="71">
        <f>SUM(L241:L244)</f>
        <v>-120.14305797951107</v>
      </c>
      <c r="M245" s="71">
        <f>SUM(M241:M244)</f>
        <v>-129.11729026452502</v>
      </c>
      <c r="N245" s="71">
        <f>SUM(N241:N244)</f>
        <v>0</v>
      </c>
      <c r="O245" s="71">
        <f>SUM(O241:O244)</f>
        <v>0</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f>+J159</f>
        <v>0</v>
      </c>
      <c r="L254" s="54">
        <f>+K256</f>
        <v>0</v>
      </c>
      <c r="M254" s="54">
        <f>+L256</f>
        <v>0</v>
      </c>
      <c r="N254" s="54">
        <f>+M256</f>
        <v>0</v>
      </c>
      <c r="O254" s="54">
        <f>+N256</f>
        <v>0</v>
      </c>
    </row>
    <row r="255" spans="1:17" ht="12.95" customHeight="1" x14ac:dyDescent="0.2">
      <c r="B255" s="3" t="s">
        <v>94</v>
      </c>
      <c r="C255" s="3"/>
      <c r="D255" s="3"/>
      <c r="E255" s="3"/>
      <c r="F255" s="3"/>
      <c r="G255" s="3"/>
      <c r="H255" s="3"/>
      <c r="I255" s="3"/>
      <c r="J255" s="3"/>
      <c r="K255" s="66">
        <f>-MIN(K238,K254)</f>
        <v>0</v>
      </c>
      <c r="L255" s="66">
        <f>-MIN(L238,L254)</f>
        <v>0</v>
      </c>
      <c r="M255" s="66">
        <f>-MIN(M238,M254)</f>
        <v>0</v>
      </c>
      <c r="N255" s="66">
        <f>-MIN(N238,N254)</f>
        <v>0</v>
      </c>
      <c r="O255" s="66">
        <f>-MIN(O238,O254)</f>
        <v>0</v>
      </c>
    </row>
    <row r="256" spans="1:17" ht="12.95" customHeight="1" x14ac:dyDescent="0.2">
      <c r="B256" s="69" t="s">
        <v>192</v>
      </c>
      <c r="C256" s="69"/>
      <c r="D256" s="69"/>
      <c r="E256" s="69"/>
      <c r="F256" s="69"/>
      <c r="G256" s="69"/>
      <c r="H256" s="69"/>
      <c r="I256" s="69"/>
      <c r="J256" s="69"/>
      <c r="K256" s="71">
        <f>SUM(K254:K255)</f>
        <v>0</v>
      </c>
      <c r="L256" s="71">
        <f>SUM(L254:L255)</f>
        <v>0</v>
      </c>
      <c r="M256" s="71">
        <f>SUM(M254:M255)</f>
        <v>0</v>
      </c>
      <c r="N256" s="71">
        <f>SUM(N254:N255)</f>
        <v>0</v>
      </c>
      <c r="O256" s="71">
        <f>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+AVERAGE(K254,K256)</f>
        <v>0</v>
      </c>
      <c r="L258" s="35">
        <f>+AVERAGE(L254,L256)</f>
        <v>0</v>
      </c>
      <c r="M258" s="35">
        <f>+AVERAGE(M254,M256)</f>
        <v>0</v>
      </c>
      <c r="N258" s="35">
        <f>+AVERAGE(N254,N256)</f>
        <v>0</v>
      </c>
      <c r="O258" s="35">
        <f>+AVERAGE(O254,O256)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c r="L260" s="54"/>
      <c r="M260" s="54"/>
      <c r="N260" s="54"/>
      <c r="O260" s="54"/>
    </row>
    <row r="261" spans="2:15" s="4" customFormat="1" ht="12.95" customHeight="1" x14ac:dyDescent="0.2">
      <c r="B261" s="4" t="s">
        <v>158</v>
      </c>
      <c r="G261" s="4" t="s">
        <v>147</v>
      </c>
      <c r="I261" s="218">
        <v>25</v>
      </c>
      <c r="K261" s="15"/>
      <c r="L261" s="15"/>
      <c r="M261" s="15"/>
      <c r="N261" s="15"/>
      <c r="O261" s="15"/>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+IF(K256&gt;$I$258,1,0)</f>
        <v>0</v>
      </c>
      <c r="L264" s="14">
        <f>+IF(L256&gt;$I$258,1,0)</f>
        <v>0</v>
      </c>
      <c r="M264" s="14">
        <f>+IF(M256&gt;$I$258,1,0)</f>
        <v>0</v>
      </c>
      <c r="N264" s="14">
        <f>+IF(N256&gt;$I$258,1,0)</f>
        <v>0</v>
      </c>
      <c r="O264" s="14">
        <f>+IF(O256&gt;$I$258,1,0)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+K270</f>
        <v>264.8352818440361</v>
      </c>
      <c r="M267" s="54">
        <f>+L270</f>
        <v>136.90475706452503</v>
      </c>
      <c r="N267" s="54">
        <f>+M270</f>
        <v>0</v>
      </c>
      <c r="O267" s="54">
        <f>+N270</f>
        <v>0</v>
      </c>
    </row>
    <row r="268" spans="2:15" s="4" customFormat="1" ht="12.95" customHeight="1" x14ac:dyDescent="0.2">
      <c r="B268" s="33" t="s">
        <v>92</v>
      </c>
      <c r="G268" s="4" t="s">
        <v>97</v>
      </c>
      <c r="I268" s="219">
        <v>0.02</v>
      </c>
      <c r="K268" s="35">
        <f>-MIN($K$267*$I$268,K267)</f>
        <v>-7.787466799999998</v>
      </c>
      <c r="L268" s="35">
        <f>-MIN($K$267*$I$268,L267)</f>
        <v>-7.787466799999998</v>
      </c>
      <c r="M268" s="35">
        <f>-MIN($K$267*$I$268,M267)</f>
        <v>-7.787466799999998</v>
      </c>
      <c r="N268" s="35">
        <f>-MIN($K$267*$I$268,N267)</f>
        <v>0</v>
      </c>
      <c r="O268" s="35">
        <f>-MIN($K$267*$I$268,O267)</f>
        <v>0</v>
      </c>
    </row>
    <row r="269" spans="2:15" ht="12.95" customHeight="1" x14ac:dyDescent="0.2">
      <c r="B269" s="3" t="s">
        <v>89</v>
      </c>
      <c r="C269" s="3"/>
      <c r="D269" s="3"/>
      <c r="E269" s="3"/>
      <c r="F269" s="3"/>
      <c r="G269" s="3"/>
      <c r="H269" s="3"/>
      <c r="I269" s="3"/>
      <c r="J269" s="3"/>
      <c r="K269" s="66">
        <f>-MIN(SUM(K267:K268),SUM(K238:K241))</f>
        <v>-116.75059135596376</v>
      </c>
      <c r="L269" s="66">
        <f>-MIN(SUM(L267:L268),SUM(L238:L241))</f>
        <v>-120.14305797951107</v>
      </c>
      <c r="M269" s="66">
        <f>-MIN(SUM(M267:M268),SUM(M238:M241))</f>
        <v>-129.11729026452502</v>
      </c>
      <c r="N269" s="66">
        <f>-MIN(SUM(N267:N268),SUM(N238:N241))</f>
        <v>0</v>
      </c>
      <c r="O269" s="66">
        <f>-MIN(SUM(O267:O268),SUM(O238:O241))</f>
        <v>0</v>
      </c>
    </row>
    <row r="270" spans="2:15" ht="12.95" customHeight="1" x14ac:dyDescent="0.2">
      <c r="B270" s="69" t="s">
        <v>192</v>
      </c>
      <c r="C270" s="69"/>
      <c r="D270" s="69"/>
      <c r="E270" s="69"/>
      <c r="F270" s="69"/>
      <c r="G270" s="69"/>
      <c r="H270" s="4"/>
      <c r="I270" s="69"/>
      <c r="J270" s="69"/>
      <c r="K270" s="71">
        <f>SUM(K267:K269)</f>
        <v>264.8352818440361</v>
      </c>
      <c r="L270" s="71">
        <f>SUM(L267:L269)</f>
        <v>136.90475706452503</v>
      </c>
      <c r="M270" s="71">
        <f>SUM(M267:M269)</f>
        <v>0</v>
      </c>
      <c r="N270" s="71">
        <f>SUM(N267:N269)</f>
        <v>0</v>
      </c>
      <c r="O270" s="71">
        <f>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+AVERAGE(K267,K270)</f>
        <v>327.10431092201799</v>
      </c>
      <c r="L272" s="16">
        <f>+AVERAGE(L267,L270)</f>
        <v>200.87001945428057</v>
      </c>
      <c r="M272" s="16">
        <f>+AVERAGE(M267,M270)</f>
        <v>68.452378532262514</v>
      </c>
      <c r="N272" s="16">
        <f>+AVERAGE(N267,N270)</f>
        <v>0</v>
      </c>
      <c r="O272" s="16">
        <f>+AVERAGE(O267,O270)</f>
        <v>0</v>
      </c>
    </row>
    <row r="273" spans="2:17"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c r="Q278" s="174" t="s">
        <v>329</v>
      </c>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c r="Q280" s="174" t="s">
        <v>345</v>
      </c>
    </row>
    <row r="281" spans="2:17" s="4" customFormat="1" ht="12.95" customHeight="1" x14ac:dyDescent="0.2">
      <c r="B281" s="69" t="s">
        <v>192</v>
      </c>
      <c r="C281" s="69"/>
      <c r="D281" s="69"/>
      <c r="E281" s="69"/>
      <c r="F281" s="69"/>
      <c r="G281" s="69"/>
      <c r="I281" s="69"/>
      <c r="J281" s="69"/>
      <c r="K281" s="71"/>
      <c r="L281" s="71"/>
      <c r="M281" s="71"/>
      <c r="N281" s="71"/>
      <c r="O281" s="71"/>
      <c r="Q281" s="174" t="s">
        <v>261</v>
      </c>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174" t="s">
        <v>262</v>
      </c>
    </row>
    <row r="284" spans="2:17" ht="12.95" customHeight="1" x14ac:dyDescent="0.2">
      <c r="B284" s="1" t="s">
        <v>149</v>
      </c>
      <c r="G284" s="4" t="s">
        <v>96</v>
      </c>
      <c r="I284" s="217">
        <v>600</v>
      </c>
      <c r="K284" s="55"/>
      <c r="L284" s="55"/>
      <c r="M284" s="55"/>
      <c r="N284" s="55"/>
      <c r="O284" s="55"/>
      <c r="Q284" s="174" t="s">
        <v>308</v>
      </c>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K322" s="13">
        <f>+K138</f>
        <v>2020</v>
      </c>
      <c r="L322" s="13">
        <f>+K322+1</f>
        <v>2021</v>
      </c>
      <c r="M322" s="13">
        <f>+L322+1</f>
        <v>2022</v>
      </c>
      <c r="N322" s="13">
        <f>+M322+1</f>
        <v>2023</v>
      </c>
      <c r="O322" s="13">
        <f>+N322+1</f>
        <v>2024</v>
      </c>
    </row>
    <row r="323" spans="2:18" ht="12.95" customHeight="1" x14ac:dyDescent="0.2">
      <c r="B323" s="1" t="s">
        <v>35</v>
      </c>
      <c r="K323" s="54"/>
      <c r="L323" s="54"/>
      <c r="M323" s="54"/>
      <c r="N323" s="54"/>
      <c r="O323" s="54"/>
    </row>
    <row r="324" spans="2:18" ht="12.95" customHeight="1" x14ac:dyDescent="0.2">
      <c r="B324" s="4" t="s">
        <v>200</v>
      </c>
      <c r="C324" s="4"/>
      <c r="D324" s="4"/>
      <c r="E324" s="4"/>
      <c r="F324" s="4"/>
      <c r="G324" s="4"/>
      <c r="H324" s="4"/>
      <c r="I324" s="4"/>
      <c r="J324" s="4"/>
      <c r="K324" s="253"/>
      <c r="L324" s="253"/>
      <c r="M324" s="253"/>
      <c r="N324" s="253"/>
      <c r="O324" s="253"/>
    </row>
    <row r="325" spans="2:18" ht="12.95" customHeight="1" x14ac:dyDescent="0.2">
      <c r="B325" s="226" t="s">
        <v>201</v>
      </c>
      <c r="C325" s="226"/>
      <c r="D325" s="226"/>
      <c r="E325" s="226"/>
      <c r="F325" s="226"/>
      <c r="G325" s="226"/>
      <c r="H325" s="226"/>
      <c r="I325" s="226"/>
      <c r="J325" s="226"/>
      <c r="K325" s="37"/>
      <c r="L325" s="37"/>
      <c r="M325" s="37"/>
      <c r="N325" s="37"/>
      <c r="O325" s="37"/>
    </row>
    <row r="326" spans="2:18" ht="12.95" customHeight="1" x14ac:dyDescent="0.2">
      <c r="B326" s="1" t="s">
        <v>202</v>
      </c>
      <c r="K326" s="16"/>
      <c r="L326" s="16"/>
      <c r="M326" s="16"/>
      <c r="N326" s="16"/>
      <c r="O326" s="16"/>
    </row>
    <row r="327" spans="2:18" ht="12.95" customHeight="1" x14ac:dyDescent="0.2">
      <c r="B327" s="4" t="s">
        <v>203</v>
      </c>
      <c r="C327" s="4"/>
      <c r="D327" s="4"/>
      <c r="E327" s="4"/>
      <c r="F327" s="4"/>
      <c r="G327" s="4"/>
      <c r="H327" s="4"/>
      <c r="I327" s="4"/>
      <c r="J327" s="4"/>
      <c r="K327" s="35"/>
      <c r="L327" s="35"/>
      <c r="M327" s="35"/>
      <c r="N327" s="35"/>
      <c r="O327" s="35"/>
    </row>
    <row r="328" spans="2:18" ht="12.95" customHeight="1" x14ac:dyDescent="0.2">
      <c r="B328" s="226" t="s">
        <v>204</v>
      </c>
      <c r="C328" s="226"/>
      <c r="D328" s="226"/>
      <c r="E328" s="226"/>
      <c r="F328" s="226"/>
      <c r="G328" s="226"/>
      <c r="H328" s="226"/>
      <c r="I328" s="226"/>
      <c r="J328" s="226"/>
      <c r="K328" s="37"/>
      <c r="L328" s="37"/>
      <c r="M328" s="37"/>
      <c r="N328" s="37"/>
      <c r="O328" s="37"/>
    </row>
    <row r="329" spans="2:18" ht="12.95" customHeight="1" x14ac:dyDescent="0.2">
      <c r="B329" s="3" t="s">
        <v>336</v>
      </c>
      <c r="C329" s="3"/>
      <c r="D329" s="3"/>
      <c r="E329" s="3"/>
      <c r="F329" s="3"/>
      <c r="G329" s="3"/>
      <c r="H329" s="3"/>
      <c r="I329" s="3"/>
      <c r="J329" s="3"/>
      <c r="K329" s="66"/>
      <c r="L329" s="66"/>
      <c r="M329" s="66"/>
      <c r="N329" s="66"/>
      <c r="O329" s="66"/>
    </row>
    <row r="330" spans="2:18" ht="12.95" customHeight="1" x14ac:dyDescent="0.2">
      <c r="B330" s="69" t="s">
        <v>207</v>
      </c>
      <c r="C330" s="69"/>
      <c r="D330" s="69"/>
      <c r="E330" s="69"/>
      <c r="F330" s="69"/>
      <c r="G330" s="69"/>
      <c r="H330" s="69"/>
      <c r="I330" s="69"/>
      <c r="J330" s="69"/>
      <c r="K330" s="71"/>
      <c r="L330" s="71"/>
      <c r="M330" s="71"/>
      <c r="N330" s="71"/>
      <c r="O330" s="71"/>
    </row>
    <row r="332" spans="2:18" ht="12.95" customHeight="1" x14ac:dyDescent="0.2">
      <c r="F332" s="1" t="s">
        <v>205</v>
      </c>
      <c r="J332" s="250"/>
      <c r="K332" s="15"/>
      <c r="L332" s="15"/>
      <c r="M332" s="15"/>
      <c r="N332" s="15"/>
      <c r="O332" s="15"/>
    </row>
    <row r="334" spans="2:18" ht="12.95" customHeight="1" x14ac:dyDescent="0.2">
      <c r="F334" s="1" t="s">
        <v>208</v>
      </c>
      <c r="K334" s="254"/>
      <c r="L334" s="254"/>
      <c r="M334" s="254"/>
      <c r="N334" s="254"/>
      <c r="O334" s="254"/>
    </row>
    <row r="335" spans="2:18" customFormat="1" ht="3" customHeight="1" x14ac:dyDescent="0.25">
      <c r="Q335" s="1"/>
      <c r="R335" s="1"/>
    </row>
    <row r="336" spans="2:18"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28704-9B5A-4E5B-BF94-982ED4E4DC5D}">
  <dimension ref="A2:X342"/>
  <sheetViews>
    <sheetView showGridLines="0" topLeftCell="A269" zoomScale="115" zoomScaleNormal="115" zoomScaleSheetLayoutView="85" workbookViewId="0">
      <selection activeCell="G290" sqref="G290"/>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c r="L139" s="221"/>
      <c r="M139" s="221"/>
      <c r="N139" s="221"/>
      <c r="O139" s="221"/>
      <c r="Q139" s="1"/>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si="13"/>
        <v>182.96286050053121</v>
      </c>
      <c r="L143" s="238">
        <f t="shared" si="13"/>
        <v>195.52950228475203</v>
      </c>
      <c r="M143" s="238">
        <f t="shared" si="13"/>
        <v>208.95895590231126</v>
      </c>
      <c r="N143" s="238">
        <f t="shared" si="13"/>
        <v>223.31043846513344</v>
      </c>
      <c r="O143" s="238">
        <f t="shared" si="13"/>
        <v>238.64722970282941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si="14"/>
        <v>2137.5559154857301</v>
      </c>
      <c r="L149" s="240">
        <f t="shared" si="14"/>
        <v>2153.2616405183794</v>
      </c>
      <c r="M149" s="240">
        <f t="shared" si="14"/>
        <v>2169.662867136642</v>
      </c>
      <c r="N149" s="240">
        <f t="shared" si="14"/>
        <v>2186.7629203555853</v>
      </c>
      <c r="O149" s="241">
        <f t="shared" si="14"/>
        <v>2204.5621827346149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+K256</f>
        <v>0</v>
      </c>
      <c r="L159" s="35">
        <f>+L256</f>
        <v>0</v>
      </c>
      <c r="M159" s="35">
        <f>+M256</f>
        <v>0</v>
      </c>
      <c r="N159" s="35">
        <f>+N256</f>
        <v>0</v>
      </c>
      <c r="O159" s="35">
        <f>+O256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f>+K270</f>
        <v>264.8352818440361</v>
      </c>
      <c r="L160" s="35">
        <f>+L270</f>
        <v>136.90475706452503</v>
      </c>
      <c r="M160" s="35">
        <f>+M270</f>
        <v>0</v>
      </c>
      <c r="N160" s="35">
        <f>+N270</f>
        <v>0</v>
      </c>
      <c r="O160" s="35">
        <f>+O270</f>
        <v>0</v>
      </c>
      <c r="Q160" s="174"/>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f>+K281</f>
        <v>194.68666999999994</v>
      </c>
      <c r="L161" s="35">
        <f>+L281</f>
        <v>194.68666999999994</v>
      </c>
      <c r="M161" s="35">
        <f>+M281</f>
        <v>190.7128568886391</v>
      </c>
      <c r="N161" s="35">
        <f>+N281</f>
        <v>35.707787378046476</v>
      </c>
      <c r="O161" s="35">
        <f>+O281</f>
        <v>0</v>
      </c>
      <c r="Q161" s="174"/>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c r="L162" s="66"/>
      <c r="M162" s="66"/>
      <c r="N162" s="66"/>
      <c r="O162" s="66"/>
      <c r="Q162" s="174" t="s">
        <v>268</v>
      </c>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si="16"/>
        <v>459.52195184403604</v>
      </c>
      <c r="L163" s="238">
        <f t="shared" si="16"/>
        <v>331.59142706452496</v>
      </c>
      <c r="M163" s="238">
        <f t="shared" si="16"/>
        <v>190.7128568886391</v>
      </c>
      <c r="N163" s="238">
        <f t="shared" si="16"/>
        <v>35.707787378046476</v>
      </c>
      <c r="O163" s="238">
        <f t="shared" si="16"/>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+J165+K113</f>
        <v>1024.7429196329997</v>
      </c>
      <c r="L165" s="35">
        <f>+K165+L113</f>
        <v>1161.8023720306196</v>
      </c>
      <c r="M165" s="35">
        <f>+L165+M113</f>
        <v>1311.7253341803346</v>
      </c>
      <c r="N165" s="35">
        <f>+M165+N113</f>
        <v>1475.6411061306896</v>
      </c>
      <c r="O165" s="35">
        <f>+N165+O113</f>
        <v>1654.7740587392409</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si="17"/>
        <v>1655.8392404857304</v>
      </c>
      <c r="L166" s="22">
        <f t="shared" si="17"/>
        <v>1676.5449655183797</v>
      </c>
      <c r="M166" s="22">
        <f t="shared" si="17"/>
        <v>1697.9461921366424</v>
      </c>
      <c r="N166" s="22">
        <f t="shared" si="17"/>
        <v>1720.0462453555854</v>
      </c>
      <c r="O166" s="23">
        <f t="shared" si="17"/>
        <v>1877.5492812691241</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1</v>
      </c>
      <c r="L168" s="175">
        <f t="shared" si="18"/>
        <v>1</v>
      </c>
      <c r="M168" s="175">
        <f t="shared" si="18"/>
        <v>1</v>
      </c>
      <c r="N168" s="175">
        <f t="shared" si="18"/>
        <v>1</v>
      </c>
      <c r="O168" s="175">
        <f t="shared" si="18"/>
        <v>1</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22.413878491836641</v>
      </c>
      <c r="L186" s="200">
        <f>+(L143-L139)-L154</f>
        <v>24.17549995151694</v>
      </c>
      <c r="M186" s="200">
        <f>+(M143-M139)-M154</f>
        <v>26.073920410942577</v>
      </c>
      <c r="N186" s="200">
        <f>+(N143-N139)-N154</f>
        <v>28.11965978492529</v>
      </c>
      <c r="O186" s="200">
        <f>+(O143-O139)-O154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+K186/K171</f>
        <v>2.0329334917528644E-2</v>
      </c>
      <c r="L187" s="203">
        <f>+L186/L171</f>
        <v>2.0492636846519387E-2</v>
      </c>
      <c r="M187" s="203">
        <f>+M186/M171</f>
        <v>2.0655938775510207E-2</v>
      </c>
      <c r="N187" s="203">
        <f>+N186/N171</f>
        <v>2.0819240704500967E-2</v>
      </c>
      <c r="O187" s="203">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+K113</f>
        <v>125.23737093299992</v>
      </c>
      <c r="L193" s="15">
        <f>+L113</f>
        <v>137.05945239761996</v>
      </c>
      <c r="M193" s="15">
        <f>+M113</f>
        <v>149.92296214971503</v>
      </c>
      <c r="N193" s="15">
        <f>+N113</f>
        <v>163.91577195035512</v>
      </c>
      <c r="O193" s="15">
        <f>+O113</f>
        <v>179.13295260855125</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c r="L196" s="62"/>
      <c r="M196" s="62"/>
      <c r="N196" s="62"/>
      <c r="O196" s="62"/>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19">+(J140-K140)</f>
        <v>-4.5168657534246393</v>
      </c>
      <c r="L199" s="16">
        <f t="shared" si="19"/>
        <v>-6.3433733424657532</v>
      </c>
      <c r="M199" s="16">
        <f t="shared" si="19"/>
        <v>-6.7874094764383699</v>
      </c>
      <c r="N199" s="16">
        <f t="shared" si="19"/>
        <v>-7.2625281397890546</v>
      </c>
      <c r="O199" s="16">
        <f t="shared" si="19"/>
        <v>-7.7709051095742865</v>
      </c>
    </row>
    <row r="200" spans="2:15" ht="12.95" customHeight="1" x14ac:dyDescent="0.2">
      <c r="B200" s="1" t="str">
        <f>+"(Increase) / Decrease in "&amp;B141</f>
        <v>(Increase) / Decrease in Inventories</v>
      </c>
      <c r="H200" s="38"/>
      <c r="I200" s="38"/>
      <c r="J200" s="38"/>
      <c r="K200" s="16">
        <f t="shared" si="19"/>
        <v>-4.2586686249870525</v>
      </c>
      <c r="L200" s="16">
        <f t="shared" si="19"/>
        <v>-4.2166480077551114</v>
      </c>
      <c r="M200" s="16">
        <f t="shared" si="19"/>
        <v>-4.4949602767408265</v>
      </c>
      <c r="N200" s="16">
        <f t="shared" si="19"/>
        <v>-4.7915746881465395</v>
      </c>
      <c r="O200" s="16">
        <f t="shared" si="19"/>
        <v>-5.1076898117930227</v>
      </c>
    </row>
    <row r="201" spans="2:15" ht="12.95" customHeight="1" x14ac:dyDescent="0.2">
      <c r="B201" s="1" t="str">
        <f>+"(Increase) / Decrease in "&amp;B142</f>
        <v>(Increase) / Decrease in Prepaid Expenses</v>
      </c>
      <c r="H201" s="38"/>
      <c r="I201" s="38"/>
      <c r="J201" s="38"/>
      <c r="K201" s="16">
        <f t="shared" si="19"/>
        <v>-0.84493619999999936</v>
      </c>
      <c r="L201" s="16">
        <f t="shared" si="19"/>
        <v>-2.0066204339999985</v>
      </c>
      <c r="M201" s="16">
        <f t="shared" si="19"/>
        <v>-2.1470838643800079</v>
      </c>
      <c r="N201" s="16">
        <f t="shared" si="19"/>
        <v>-2.2973797348865972</v>
      </c>
      <c r="O201" s="16">
        <f t="shared" si="19"/>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20">+K151-J151</f>
        <v>5.1904433589041119</v>
      </c>
      <c r="L203" s="16">
        <f t="shared" si="20"/>
        <v>3.396423326794519</v>
      </c>
      <c r="M203" s="16">
        <f t="shared" si="20"/>
        <v>3.62059814071727</v>
      </c>
      <c r="N203" s="16">
        <f t="shared" si="20"/>
        <v>3.8595149542878886</v>
      </c>
      <c r="O203" s="16">
        <f t="shared" si="20"/>
        <v>4.1141391908688973</v>
      </c>
    </row>
    <row r="204" spans="2:15" ht="12.95" customHeight="1" x14ac:dyDescent="0.2">
      <c r="B204" s="1" t="str">
        <f>+"Increase / (Decrease) in "&amp;B152</f>
        <v>Increase / (Decrease) in Accrued Liabilities</v>
      </c>
      <c r="H204" s="38"/>
      <c r="I204" s="38"/>
      <c r="J204" s="38"/>
      <c r="K204" s="16">
        <f t="shared" si="20"/>
        <v>5.0838265539000034</v>
      </c>
      <c r="L204" s="16">
        <f t="shared" si="20"/>
        <v>3.5497115477460071</v>
      </c>
      <c r="M204" s="16">
        <f t="shared" si="20"/>
        <v>3.7814275859163331</v>
      </c>
      <c r="N204" s="16">
        <f t="shared" si="20"/>
        <v>4.0281902828465519</v>
      </c>
      <c r="O204" s="16">
        <f t="shared" si="20"/>
        <v>4.2909707621760305</v>
      </c>
    </row>
    <row r="205" spans="2:15" ht="12.95" customHeight="1" x14ac:dyDescent="0.2">
      <c r="B205" s="1" t="str">
        <f>+"Increase / (Decrease) in "&amp;B153</f>
        <v>Increase / (Decrease) in Deferred Revenue</v>
      </c>
      <c r="H205" s="38"/>
      <c r="I205" s="38"/>
      <c r="J205" s="38"/>
      <c r="K205" s="16">
        <f t="shared" si="20"/>
        <v>11.334509999999995</v>
      </c>
      <c r="L205" s="16">
        <f t="shared" si="20"/>
        <v>3.8588854500000025</v>
      </c>
      <c r="M205" s="16">
        <f t="shared" si="20"/>
        <v>4.129007431500014</v>
      </c>
      <c r="N205" s="16">
        <f t="shared" si="20"/>
        <v>4.4180379517050028</v>
      </c>
      <c r="O205" s="16">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+SUM(K193:K196,K207)</f>
        <v>175.29341420596378</v>
      </c>
      <c r="L209" s="22">
        <f>+SUM(L193:L196,L207)</f>
        <v>182.47861395751107</v>
      </c>
      <c r="M209" s="22">
        <f>+SUM(M193:M196,M207)</f>
        <v>199.52617387516088</v>
      </c>
      <c r="N209" s="22">
        <f>+SUM(N193:N196,N207)</f>
        <v>218.08333412714893</v>
      </c>
      <c r="O209" s="23">
        <f>+SUM(O193:O196,O207)</f>
        <v>238.27790571668606</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c r="L216" s="16"/>
      <c r="M216" s="16"/>
      <c r="N216" s="16"/>
      <c r="O216" s="16"/>
    </row>
    <row r="217" spans="1:15" ht="12.95" customHeight="1" x14ac:dyDescent="0.2">
      <c r="B217" s="3" t="s">
        <v>83</v>
      </c>
      <c r="C217" s="3"/>
      <c r="D217" s="3"/>
      <c r="E217" s="3"/>
      <c r="F217" s="3"/>
      <c r="G217" s="3"/>
      <c r="H217" s="27"/>
      <c r="I217" s="27"/>
      <c r="J217" s="27"/>
      <c r="K217" s="66"/>
      <c r="L217" s="66"/>
      <c r="M217" s="66"/>
      <c r="N217" s="66"/>
      <c r="O217" s="66"/>
    </row>
    <row r="218" spans="1:15" s="76" customFormat="1" ht="12.95" customHeight="1" x14ac:dyDescent="0.2">
      <c r="B218" s="69" t="s">
        <v>84</v>
      </c>
      <c r="C218" s="69"/>
      <c r="D218" s="69"/>
      <c r="E218" s="69"/>
      <c r="F218" s="69"/>
      <c r="G218" s="69"/>
      <c r="H218" s="210"/>
      <c r="I218" s="210"/>
      <c r="J218" s="210"/>
      <c r="K218" s="71">
        <f>+SUM(K216:K217)</f>
        <v>0</v>
      </c>
      <c r="L218" s="71">
        <f>+SUM(L216:L217)</f>
        <v>0</v>
      </c>
      <c r="M218" s="71">
        <f>+SUM(M216:M217)</f>
        <v>0</v>
      </c>
      <c r="N218" s="71">
        <f>+SUM(N216:N217)</f>
        <v>0</v>
      </c>
      <c r="O218" s="71">
        <f>+SUM(O216:O217)</f>
        <v>0</v>
      </c>
    </row>
    <row r="220" spans="1:15" ht="12.95" customHeight="1" x14ac:dyDescent="0.2">
      <c r="B220" s="207" t="s">
        <v>87</v>
      </c>
      <c r="C220" s="208"/>
      <c r="D220" s="208"/>
      <c r="E220" s="208"/>
      <c r="F220" s="208"/>
      <c r="G220" s="208"/>
      <c r="H220" s="209"/>
      <c r="I220" s="209"/>
      <c r="J220" s="209"/>
      <c r="K220" s="22">
        <f>+K209+K213+K218</f>
        <v>129.53805815596377</v>
      </c>
      <c r="L220" s="22">
        <f>+L209+L213+L218</f>
        <v>132.93052477951107</v>
      </c>
      <c r="M220" s="22">
        <f>+M209+M213+M218</f>
        <v>145.87857017588587</v>
      </c>
      <c r="N220" s="22">
        <f>+N209+N213+N218</f>
        <v>160.00506951059262</v>
      </c>
      <c r="O220" s="2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+L268</f>
        <v>-7.787466799999998</v>
      </c>
      <c r="M227" s="211">
        <f>+M268</f>
        <v>-7.787466799999998</v>
      </c>
      <c r="N227" s="211">
        <f>+N268</f>
        <v>0</v>
      </c>
      <c r="O227" s="211">
        <f>+O268</f>
        <v>0</v>
      </c>
    </row>
    <row r="228" spans="2:15" s="76" customFormat="1" ht="12.95" customHeight="1" x14ac:dyDescent="0.2">
      <c r="B228" s="69" t="s">
        <v>74</v>
      </c>
      <c r="C228" s="69"/>
      <c r="D228" s="69"/>
      <c r="E228" s="69"/>
      <c r="F228" s="69"/>
      <c r="G228" s="69"/>
      <c r="H228" s="212"/>
      <c r="I228" s="212"/>
      <c r="J228" s="212"/>
      <c r="K228" s="71">
        <f>+SUM(K227)</f>
        <v>-7.787466799999998</v>
      </c>
      <c r="L228" s="71">
        <f>+SUM(L227)</f>
        <v>-7.787466799999998</v>
      </c>
      <c r="M228" s="71">
        <f>+SUM(M227)</f>
        <v>-7.787466799999998</v>
      </c>
      <c r="N228" s="71">
        <f>+SUM(N227)</f>
        <v>0</v>
      </c>
      <c r="O228" s="71">
        <f>+SUM(O227)</f>
        <v>0</v>
      </c>
    </row>
    <row r="230" spans="2:15" ht="12.95" customHeight="1" x14ac:dyDescent="0.2">
      <c r="B230" s="24" t="s">
        <v>196</v>
      </c>
    </row>
    <row r="231" spans="2:15" ht="12.95" customHeight="1" x14ac:dyDescent="0.2">
      <c r="B231" s="1" t="s">
        <v>122</v>
      </c>
      <c r="K231" s="16">
        <f>+K209+K213</f>
        <v>129.53805815596377</v>
      </c>
      <c r="L231" s="16">
        <f>+L209+L213</f>
        <v>132.93052477951107</v>
      </c>
      <c r="M231" s="16">
        <f>+M209+M213</f>
        <v>145.87857017588587</v>
      </c>
      <c r="N231" s="16">
        <f>+N209+N213</f>
        <v>160.00506951059262</v>
      </c>
      <c r="O231" s="16">
        <f>+O209+O213</f>
        <v>175.4115609125555</v>
      </c>
    </row>
    <row r="232" spans="2:15" ht="12.95" customHeight="1" x14ac:dyDescent="0.2">
      <c r="B232" s="1" t="s">
        <v>123</v>
      </c>
      <c r="K232" s="16">
        <f>+K228</f>
        <v>-7.787466799999998</v>
      </c>
      <c r="L232" s="16">
        <f>+L228</f>
        <v>-7.787466799999998</v>
      </c>
      <c r="M232" s="16">
        <f>+M228</f>
        <v>-7.787466799999998</v>
      </c>
      <c r="N232" s="16">
        <f>+N228</f>
        <v>0</v>
      </c>
      <c r="O232" s="16">
        <f>+O228</f>
        <v>0</v>
      </c>
    </row>
    <row r="233" spans="2:15" s="76" customFormat="1" ht="12.95" customHeight="1" x14ac:dyDescent="0.2">
      <c r="B233" s="20" t="s">
        <v>75</v>
      </c>
      <c r="C233" s="21"/>
      <c r="D233" s="21"/>
      <c r="E233" s="21"/>
      <c r="F233" s="21"/>
      <c r="G233" s="21"/>
      <c r="H233" s="21"/>
      <c r="I233" s="21"/>
      <c r="J233" s="21"/>
      <c r="K233" s="22">
        <f>SUM(K231:K232)</f>
        <v>121.75059135596376</v>
      </c>
      <c r="L233" s="22">
        <f>SUM(L231:L232)</f>
        <v>125.14305797951107</v>
      </c>
      <c r="M233" s="22">
        <f>SUM(M231:M232)</f>
        <v>138.09110337588587</v>
      </c>
      <c r="N233" s="22">
        <f>SUM(N231:N232)</f>
        <v>160.00506951059262</v>
      </c>
      <c r="O233" s="23">
        <f>SUM(O231:O232)</f>
        <v>175.4115609125555</v>
      </c>
    </row>
    <row r="235" spans="2:15" ht="12.95" customHeight="1" x14ac:dyDescent="0.2">
      <c r="B235" s="1" t="s">
        <v>76</v>
      </c>
      <c r="H235" s="38"/>
      <c r="I235" s="38"/>
      <c r="J235" s="38"/>
      <c r="K235" s="16">
        <f>+J139</f>
        <v>0</v>
      </c>
      <c r="L235" s="16">
        <f>+K139</f>
        <v>0</v>
      </c>
      <c r="M235" s="16">
        <f>+L139</f>
        <v>0</v>
      </c>
      <c r="N235" s="16">
        <f>+M139</f>
        <v>0</v>
      </c>
      <c r="O235" s="16">
        <f>+N139</f>
        <v>0</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+K233</f>
        <v>121.75059135596376</v>
      </c>
      <c r="L237" s="35">
        <f>+L233</f>
        <v>125.14305797951107</v>
      </c>
      <c r="M237" s="35">
        <f>+M233</f>
        <v>138.09110337588587</v>
      </c>
      <c r="N237" s="35">
        <f>+N233</f>
        <v>160.00506951059262</v>
      </c>
      <c r="O237" s="35">
        <f>+O233</f>
        <v>175.4115609125555</v>
      </c>
    </row>
    <row r="238" spans="2:15" s="76" customFormat="1" ht="12.95" customHeight="1" x14ac:dyDescent="0.2">
      <c r="B238" s="20" t="s">
        <v>86</v>
      </c>
      <c r="C238" s="21"/>
      <c r="D238" s="21"/>
      <c r="E238" s="21"/>
      <c r="F238" s="21"/>
      <c r="G238" s="21"/>
      <c r="H238" s="172"/>
      <c r="I238" s="172"/>
      <c r="J238" s="172"/>
      <c r="K238" s="22">
        <f>SUM(K235:K237)</f>
        <v>116.75059135596376</v>
      </c>
      <c r="L238" s="22">
        <f>SUM(L235:L237)</f>
        <v>120.14305797951107</v>
      </c>
      <c r="M238" s="22">
        <f>SUM(M235:M237)</f>
        <v>133.09110337588587</v>
      </c>
      <c r="N238" s="22">
        <f>SUM(N235:N237)</f>
        <v>155.00506951059262</v>
      </c>
      <c r="O238" s="23">
        <f>SUM(O235:O237)</f>
        <v>170.4115609125555</v>
      </c>
    </row>
    <row r="240" spans="2:15" s="76" customFormat="1" ht="12.95" customHeight="1" x14ac:dyDescent="0.2">
      <c r="B240" s="24" t="s">
        <v>79</v>
      </c>
    </row>
    <row r="241" spans="1:17" ht="12.95" customHeight="1" x14ac:dyDescent="0.2">
      <c r="B241" s="1" t="str">
        <f>+B159</f>
        <v>Revolving Credit Facility</v>
      </c>
      <c r="K241" s="16">
        <f>+K255</f>
        <v>0</v>
      </c>
      <c r="L241" s="16">
        <f>+L255</f>
        <v>0</v>
      </c>
      <c r="M241" s="16">
        <f>+M255</f>
        <v>0</v>
      </c>
      <c r="N241" s="16">
        <f>+N255</f>
        <v>0</v>
      </c>
      <c r="O241" s="16">
        <f>+O255</f>
        <v>0</v>
      </c>
    </row>
    <row r="242" spans="1:17" ht="12.95" customHeight="1" x14ac:dyDescent="0.2">
      <c r="B242" s="1" t="str">
        <f>+B160</f>
        <v>First Lien Term Loan</v>
      </c>
      <c r="K242" s="16">
        <f>+K269</f>
        <v>-116.75059135596376</v>
      </c>
      <c r="L242" s="16">
        <f>+L269</f>
        <v>-120.14305797951107</v>
      </c>
      <c r="M242" s="16">
        <f>+M269</f>
        <v>-129.11729026452502</v>
      </c>
      <c r="N242" s="16">
        <f>+N269</f>
        <v>0</v>
      </c>
      <c r="O242" s="16">
        <f>+O269</f>
        <v>0</v>
      </c>
    </row>
    <row r="243" spans="1:17" ht="12.95" customHeight="1" x14ac:dyDescent="0.2">
      <c r="B243" s="1" t="str">
        <f>+B161</f>
        <v>Second Lien Term Loan</v>
      </c>
      <c r="K243" s="16">
        <f>+K280</f>
        <v>0</v>
      </c>
      <c r="L243" s="16">
        <f>+L280</f>
        <v>0</v>
      </c>
      <c r="M243" s="16">
        <f>+M280</f>
        <v>-3.9738131113608404</v>
      </c>
      <c r="N243" s="16">
        <f>+N280</f>
        <v>-155.00506951059262</v>
      </c>
      <c r="O243" s="16">
        <f>+O280</f>
        <v>-35.707787378046476</v>
      </c>
    </row>
    <row r="244" spans="1:17" ht="12.95" customHeight="1" x14ac:dyDescent="0.2">
      <c r="B244" s="3" t="str">
        <f>+B162</f>
        <v>Notes</v>
      </c>
      <c r="C244" s="3"/>
      <c r="D244" s="3"/>
      <c r="E244" s="3"/>
      <c r="F244" s="3"/>
      <c r="G244" s="3"/>
      <c r="H244" s="3"/>
      <c r="I244" s="3"/>
      <c r="J244" s="3"/>
      <c r="K244" s="66"/>
      <c r="L244" s="66"/>
      <c r="M244" s="66"/>
      <c r="N244" s="66"/>
      <c r="O244" s="66"/>
      <c r="Q244" s="174" t="s">
        <v>267</v>
      </c>
    </row>
    <row r="245" spans="1:17" s="76" customFormat="1" ht="12.95" customHeight="1" x14ac:dyDescent="0.2">
      <c r="B245" s="69" t="s">
        <v>80</v>
      </c>
      <c r="C245" s="69"/>
      <c r="D245" s="69"/>
      <c r="E245" s="69"/>
      <c r="F245" s="69"/>
      <c r="G245" s="69"/>
      <c r="H245" s="69"/>
      <c r="I245" s="69"/>
      <c r="J245" s="69"/>
      <c r="K245" s="71">
        <f>SUM(K241:K244)</f>
        <v>-116.75059135596376</v>
      </c>
      <c r="L245" s="71">
        <f>SUM(L241:L244)</f>
        <v>-120.14305797951107</v>
      </c>
      <c r="M245" s="71">
        <f>SUM(M241:M244)</f>
        <v>-133.09110337588587</v>
      </c>
      <c r="N245" s="71">
        <f>SUM(N241:N244)</f>
        <v>-155.00506951059262</v>
      </c>
      <c r="O245" s="71">
        <f>SUM(O241:O244)</f>
        <v>-35.707787378046476</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f>+J159</f>
        <v>0</v>
      </c>
      <c r="L254" s="54">
        <f>+K256</f>
        <v>0</v>
      </c>
      <c r="M254" s="54">
        <f>+L256</f>
        <v>0</v>
      </c>
      <c r="N254" s="54">
        <f>+M256</f>
        <v>0</v>
      </c>
      <c r="O254" s="54">
        <f>+N256</f>
        <v>0</v>
      </c>
    </row>
    <row r="255" spans="1:17" ht="12.95" customHeight="1" x14ac:dyDescent="0.2">
      <c r="B255" s="3" t="s">
        <v>94</v>
      </c>
      <c r="C255" s="3"/>
      <c r="D255" s="3"/>
      <c r="E255" s="3"/>
      <c r="F255" s="3"/>
      <c r="G255" s="3"/>
      <c r="H255" s="3"/>
      <c r="I255" s="3"/>
      <c r="J255" s="3"/>
      <c r="K255" s="66">
        <f>-MIN(K238,K254)</f>
        <v>0</v>
      </c>
      <c r="L255" s="66">
        <f>-MIN(L238,L254)</f>
        <v>0</v>
      </c>
      <c r="M255" s="66">
        <f>-MIN(M238,M254)</f>
        <v>0</v>
      </c>
      <c r="N255" s="66">
        <f>-MIN(N238,N254)</f>
        <v>0</v>
      </c>
      <c r="O255" s="66">
        <f>-MIN(O238,O254)</f>
        <v>0</v>
      </c>
    </row>
    <row r="256" spans="1:17" ht="12.95" customHeight="1" x14ac:dyDescent="0.2">
      <c r="B256" s="69" t="s">
        <v>192</v>
      </c>
      <c r="C256" s="69"/>
      <c r="D256" s="69"/>
      <c r="E256" s="69"/>
      <c r="F256" s="69"/>
      <c r="G256" s="69"/>
      <c r="H256" s="69"/>
      <c r="I256" s="69"/>
      <c r="J256" s="69"/>
      <c r="K256" s="71">
        <f>SUM(K254:K255)</f>
        <v>0</v>
      </c>
      <c r="L256" s="71">
        <f>SUM(L254:L255)</f>
        <v>0</v>
      </c>
      <c r="M256" s="71">
        <f>SUM(M254:M255)</f>
        <v>0</v>
      </c>
      <c r="N256" s="71">
        <f>SUM(N254:N255)</f>
        <v>0</v>
      </c>
      <c r="O256" s="71">
        <f>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+AVERAGE(K254,K256)</f>
        <v>0</v>
      </c>
      <c r="L258" s="35">
        <f>+AVERAGE(L254,L256)</f>
        <v>0</v>
      </c>
      <c r="M258" s="35">
        <f>+AVERAGE(M254,M256)</f>
        <v>0</v>
      </c>
      <c r="N258" s="35">
        <f>+AVERAGE(N254,N256)</f>
        <v>0</v>
      </c>
      <c r="O258" s="35">
        <f>+AVERAGE(O254,O256)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c r="L260" s="54"/>
      <c r="M260" s="54"/>
      <c r="N260" s="54"/>
      <c r="O260" s="54"/>
    </row>
    <row r="261" spans="2:15" s="4" customFormat="1" ht="12.95" customHeight="1" x14ac:dyDescent="0.2">
      <c r="B261" s="4" t="s">
        <v>158</v>
      </c>
      <c r="G261" s="4" t="s">
        <v>147</v>
      </c>
      <c r="I261" s="218">
        <v>25</v>
      </c>
      <c r="K261" s="15"/>
      <c r="L261" s="15"/>
      <c r="M261" s="15"/>
      <c r="N261" s="15"/>
      <c r="O261" s="15"/>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+IF(K256&gt;$I$258,1,0)</f>
        <v>0</v>
      </c>
      <c r="L264" s="14">
        <f>+IF(L256&gt;$I$258,1,0)</f>
        <v>0</v>
      </c>
      <c r="M264" s="14">
        <f>+IF(M256&gt;$I$258,1,0)</f>
        <v>0</v>
      </c>
      <c r="N264" s="14">
        <f>+IF(N256&gt;$I$258,1,0)</f>
        <v>0</v>
      </c>
      <c r="O264" s="14">
        <f>+IF(O256&gt;$I$258,1,0)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+K270</f>
        <v>264.8352818440361</v>
      </c>
      <c r="M267" s="54">
        <f>+L270</f>
        <v>136.90475706452503</v>
      </c>
      <c r="N267" s="54">
        <f>+M270</f>
        <v>0</v>
      </c>
      <c r="O267" s="54">
        <f>+N270</f>
        <v>0</v>
      </c>
    </row>
    <row r="268" spans="2:15" s="4" customFormat="1" ht="12.95" customHeight="1" x14ac:dyDescent="0.2">
      <c r="B268" s="33" t="s">
        <v>92</v>
      </c>
      <c r="G268" s="4" t="s">
        <v>97</v>
      </c>
      <c r="I268" s="219">
        <v>0.02</v>
      </c>
      <c r="K268" s="35">
        <f>-MIN($K$267*$I$268,K267)</f>
        <v>-7.787466799999998</v>
      </c>
      <c r="L268" s="35">
        <f>-MIN($K$267*$I$268,L267)</f>
        <v>-7.787466799999998</v>
      </c>
      <c r="M268" s="35">
        <f>-MIN($K$267*$I$268,M267)</f>
        <v>-7.787466799999998</v>
      </c>
      <c r="N268" s="35">
        <f>-MIN($K$267*$I$268,N267)</f>
        <v>0</v>
      </c>
      <c r="O268" s="35">
        <f>-MIN($K$267*$I$268,O267)</f>
        <v>0</v>
      </c>
    </row>
    <row r="269" spans="2:15" ht="12.95" customHeight="1" x14ac:dyDescent="0.2">
      <c r="B269" s="3" t="s">
        <v>89</v>
      </c>
      <c r="C269" s="3"/>
      <c r="D269" s="3"/>
      <c r="E269" s="3"/>
      <c r="F269" s="3"/>
      <c r="G269" s="3"/>
      <c r="H269" s="3"/>
      <c r="I269" s="3"/>
      <c r="J269" s="3"/>
      <c r="K269" s="66">
        <f>-MIN(SUM(K267:K268),SUM(K238:K241))</f>
        <v>-116.75059135596376</v>
      </c>
      <c r="L269" s="66">
        <f>-MIN(SUM(L267:L268),SUM(L238:L241))</f>
        <v>-120.14305797951107</v>
      </c>
      <c r="M269" s="66">
        <f>-MIN(SUM(M267:M268),SUM(M238:M241))</f>
        <v>-129.11729026452502</v>
      </c>
      <c r="N269" s="66">
        <f>-MIN(SUM(N267:N268),SUM(N238:N241))</f>
        <v>0</v>
      </c>
      <c r="O269" s="66">
        <f>-MIN(SUM(O267:O268),SUM(O238:O241))</f>
        <v>0</v>
      </c>
    </row>
    <row r="270" spans="2:15" ht="12.95" customHeight="1" x14ac:dyDescent="0.2">
      <c r="B270" s="69" t="s">
        <v>192</v>
      </c>
      <c r="C270" s="69"/>
      <c r="D270" s="69"/>
      <c r="E270" s="69"/>
      <c r="F270" s="69"/>
      <c r="G270" s="69"/>
      <c r="H270" s="4"/>
      <c r="I270" s="69"/>
      <c r="J270" s="69"/>
      <c r="K270" s="71">
        <f>SUM(K267:K269)</f>
        <v>264.8352818440361</v>
      </c>
      <c r="L270" s="71">
        <f>SUM(L267:L269)</f>
        <v>136.90475706452503</v>
      </c>
      <c r="M270" s="71">
        <f>SUM(M267:M269)</f>
        <v>0</v>
      </c>
      <c r="N270" s="71">
        <f>SUM(N267:N269)</f>
        <v>0</v>
      </c>
      <c r="O270" s="71">
        <f>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+AVERAGE(K267,K270)</f>
        <v>327.10431092201799</v>
      </c>
      <c r="L272" s="16">
        <f>+AVERAGE(L267,L270)</f>
        <v>200.87001945428057</v>
      </c>
      <c r="M272" s="16">
        <f>+AVERAGE(M267,M270)</f>
        <v>68.452378532262514</v>
      </c>
      <c r="N272" s="16">
        <f>+AVERAGE(N267,N270)</f>
        <v>0</v>
      </c>
      <c r="O272" s="16">
        <f>+AVERAGE(O267,O270)</f>
        <v>0</v>
      </c>
    </row>
    <row r="273" spans="2:15"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c r="L274" s="54"/>
      <c r="M274" s="54"/>
      <c r="N274" s="54"/>
      <c r="O274" s="54"/>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20">
        <f>+J161</f>
        <v>194.68666999999994</v>
      </c>
      <c r="L278" s="54">
        <f>+K281</f>
        <v>194.68666999999994</v>
      </c>
      <c r="M278" s="54">
        <f t="shared" ref="M278:O278" si="21">+L281</f>
        <v>194.68666999999994</v>
      </c>
      <c r="N278" s="54">
        <f t="shared" si="21"/>
        <v>190.7128568886391</v>
      </c>
      <c r="O278" s="54">
        <f t="shared" si="21"/>
        <v>35.707787378046476</v>
      </c>
    </row>
    <row r="279" spans="2:15" s="4" customFormat="1" ht="12.95" customHeight="1" x14ac:dyDescent="0.2">
      <c r="B279" s="4" t="s">
        <v>109</v>
      </c>
      <c r="K279" s="222"/>
      <c r="L279" s="62"/>
      <c r="M279" s="62"/>
      <c r="N279" s="62"/>
      <c r="O279" s="62"/>
    </row>
    <row r="280" spans="2:15" s="4" customFormat="1" ht="12.95" customHeight="1" x14ac:dyDescent="0.2">
      <c r="B280" s="3" t="s">
        <v>89</v>
      </c>
      <c r="C280" s="3"/>
      <c r="D280" s="3"/>
      <c r="E280" s="3"/>
      <c r="F280" s="3"/>
      <c r="G280" s="3"/>
      <c r="H280" s="3"/>
      <c r="I280" s="3"/>
      <c r="J280" s="3"/>
      <c r="K280" s="66">
        <f>-MIN(SUM(K278:K279),SUM(K238:K242))</f>
        <v>0</v>
      </c>
      <c r="L280" s="66">
        <f>-MIN(SUM(L278:L279),SUM(L238:L242))</f>
        <v>0</v>
      </c>
      <c r="M280" s="66">
        <f>-MIN(SUM(M278:M279),SUM(M238:M242))</f>
        <v>-3.9738131113608404</v>
      </c>
      <c r="N280" s="66">
        <f>-MIN(SUM(N278:N279),SUM(N238:N242))</f>
        <v>-155.00506951059262</v>
      </c>
      <c r="O280" s="66">
        <f>-MIN(SUM(O278:O279),SUM(O238:O242))</f>
        <v>-35.707787378046476</v>
      </c>
    </row>
    <row r="281" spans="2:15" s="4" customFormat="1" ht="12.95" customHeight="1" x14ac:dyDescent="0.2">
      <c r="B281" s="69" t="s">
        <v>192</v>
      </c>
      <c r="C281" s="69"/>
      <c r="D281" s="69"/>
      <c r="E281" s="69"/>
      <c r="F281" s="69"/>
      <c r="G281" s="69"/>
      <c r="I281" s="69"/>
      <c r="J281" s="69"/>
      <c r="K281" s="71">
        <f>SUM(K278:K280)</f>
        <v>194.68666999999994</v>
      </c>
      <c r="L281" s="71">
        <f>SUM(L278:L280)</f>
        <v>194.68666999999994</v>
      </c>
      <c r="M281" s="71">
        <f>SUM(M278:M280)</f>
        <v>190.7128568886391</v>
      </c>
      <c r="N281" s="71">
        <f>SUM(N278:N280)</f>
        <v>35.707787378046476</v>
      </c>
      <c r="O281" s="71">
        <f>SUM(O278:O280)</f>
        <v>0</v>
      </c>
    </row>
    <row r="282" spans="2:15" ht="12.95" customHeight="1" x14ac:dyDescent="0.2">
      <c r="B282" s="69"/>
      <c r="C282" s="69"/>
      <c r="D282" s="69"/>
      <c r="E282" s="69"/>
      <c r="F282" s="69"/>
      <c r="G282" s="69"/>
      <c r="H282" s="4"/>
      <c r="I282" s="69"/>
      <c r="J282" s="69"/>
      <c r="K282" s="154"/>
      <c r="L282" s="154"/>
      <c r="M282" s="154"/>
      <c r="N282" s="154"/>
      <c r="O282" s="154"/>
    </row>
    <row r="283" spans="2:15" ht="12.95" customHeight="1" x14ac:dyDescent="0.2">
      <c r="B283" s="1" t="s">
        <v>91</v>
      </c>
      <c r="G283" s="1" t="s">
        <v>110</v>
      </c>
      <c r="I283" s="223">
        <v>1</v>
      </c>
      <c r="K283" s="16">
        <f>+AVERAGE(K278,K281)</f>
        <v>194.68666999999994</v>
      </c>
      <c r="L283" s="16">
        <f>+AVERAGE(L278,L281)</f>
        <v>194.68666999999994</v>
      </c>
      <c r="M283" s="16">
        <f>+AVERAGE(M278,M281)</f>
        <v>192.6997634443195</v>
      </c>
      <c r="N283" s="16">
        <f>+AVERAGE(N278,N281)</f>
        <v>113.21032213334279</v>
      </c>
      <c r="O283" s="16">
        <f>+AVERAGE(O278,O281)</f>
        <v>17.853893689023238</v>
      </c>
    </row>
    <row r="284" spans="2:15"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c r="L285" s="54"/>
      <c r="M285" s="54"/>
      <c r="N285" s="54"/>
      <c r="O285" s="54"/>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c r="Q289" s="174" t="s">
        <v>329</v>
      </c>
    </row>
    <row r="290" spans="1:17" ht="12.95" customHeight="1" x14ac:dyDescent="0.2">
      <c r="B290" s="3" t="s">
        <v>98</v>
      </c>
      <c r="C290" s="3"/>
      <c r="D290" s="3"/>
      <c r="E290" s="3"/>
      <c r="F290" s="3"/>
      <c r="G290" s="3" t="s">
        <v>99</v>
      </c>
      <c r="H290" s="133"/>
      <c r="I290" s="224">
        <v>2026</v>
      </c>
      <c r="J290" s="3"/>
      <c r="K290" s="66"/>
      <c r="L290" s="66"/>
      <c r="M290" s="66"/>
      <c r="N290" s="66"/>
      <c r="O290" s="66"/>
      <c r="Q290" s="174" t="s">
        <v>346</v>
      </c>
    </row>
    <row r="291" spans="1:17" ht="12.95" customHeight="1" x14ac:dyDescent="0.2">
      <c r="B291" s="69" t="s">
        <v>192</v>
      </c>
      <c r="C291" s="69"/>
      <c r="D291" s="69"/>
      <c r="E291" s="69"/>
      <c r="F291" s="69"/>
      <c r="G291" s="69"/>
      <c r="H291" s="4"/>
      <c r="I291" s="69"/>
      <c r="J291" s="69"/>
      <c r="K291" s="71"/>
      <c r="L291" s="71"/>
      <c r="M291" s="71"/>
      <c r="N291" s="71"/>
      <c r="O291" s="71"/>
      <c r="Q291" s="174" t="s">
        <v>266</v>
      </c>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174" t="s">
        <v>262</v>
      </c>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K322" s="13">
        <f>+K138</f>
        <v>2020</v>
      </c>
      <c r="L322" s="13">
        <f>+K322+1</f>
        <v>2021</v>
      </c>
      <c r="M322" s="13">
        <f>+L322+1</f>
        <v>2022</v>
      </c>
      <c r="N322" s="13">
        <f>+M322+1</f>
        <v>2023</v>
      </c>
      <c r="O322" s="13">
        <f>+N322+1</f>
        <v>2024</v>
      </c>
    </row>
    <row r="323" spans="2:18" ht="12.95" customHeight="1" x14ac:dyDescent="0.2">
      <c r="B323" s="1" t="s">
        <v>35</v>
      </c>
      <c r="K323" s="54"/>
      <c r="L323" s="54"/>
      <c r="M323" s="54"/>
      <c r="N323" s="54"/>
      <c r="O323" s="54"/>
    </row>
    <row r="324" spans="2:18" ht="12.95" customHeight="1" x14ac:dyDescent="0.2">
      <c r="B324" s="4" t="s">
        <v>200</v>
      </c>
      <c r="C324" s="4"/>
      <c r="D324" s="4"/>
      <c r="E324" s="4"/>
      <c r="F324" s="4"/>
      <c r="G324" s="4"/>
      <c r="H324" s="4"/>
      <c r="I324" s="4"/>
      <c r="J324" s="4"/>
      <c r="K324" s="253"/>
      <c r="L324" s="253"/>
      <c r="M324" s="253"/>
      <c r="N324" s="253"/>
      <c r="O324" s="253"/>
    </row>
    <row r="325" spans="2:18" ht="12.95" customHeight="1" x14ac:dyDescent="0.2">
      <c r="B325" s="226" t="s">
        <v>201</v>
      </c>
      <c r="C325" s="226"/>
      <c r="D325" s="226"/>
      <c r="E325" s="226"/>
      <c r="F325" s="226"/>
      <c r="G325" s="226"/>
      <c r="H325" s="226"/>
      <c r="I325" s="226"/>
      <c r="J325" s="226"/>
      <c r="K325" s="37"/>
      <c r="L325" s="37"/>
      <c r="M325" s="37"/>
      <c r="N325" s="37"/>
      <c r="O325" s="37"/>
    </row>
    <row r="326" spans="2:18" ht="12.95" customHeight="1" x14ac:dyDescent="0.2">
      <c r="B326" s="1" t="s">
        <v>202</v>
      </c>
      <c r="K326" s="16"/>
      <c r="L326" s="16"/>
      <c r="M326" s="16"/>
      <c r="N326" s="16"/>
      <c r="O326" s="16"/>
    </row>
    <row r="327" spans="2:18" ht="12.95" customHeight="1" x14ac:dyDescent="0.2">
      <c r="B327" s="4" t="s">
        <v>203</v>
      </c>
      <c r="C327" s="4"/>
      <c r="D327" s="4"/>
      <c r="E327" s="4"/>
      <c r="F327" s="4"/>
      <c r="G327" s="4"/>
      <c r="H327" s="4"/>
      <c r="I327" s="4"/>
      <c r="J327" s="4"/>
      <c r="K327" s="35"/>
      <c r="L327" s="35"/>
      <c r="M327" s="35"/>
      <c r="N327" s="35"/>
      <c r="O327" s="35"/>
    </row>
    <row r="328" spans="2:18" ht="12.95" customHeight="1" x14ac:dyDescent="0.2">
      <c r="B328" s="226" t="s">
        <v>204</v>
      </c>
      <c r="C328" s="226"/>
      <c r="D328" s="226"/>
      <c r="E328" s="226"/>
      <c r="F328" s="226"/>
      <c r="G328" s="226"/>
      <c r="H328" s="226"/>
      <c r="I328" s="226"/>
      <c r="J328" s="226"/>
      <c r="K328" s="37"/>
      <c r="L328" s="37"/>
      <c r="M328" s="37"/>
      <c r="N328" s="37"/>
      <c r="O328" s="37"/>
    </row>
    <row r="329" spans="2:18" ht="12.95" customHeight="1" x14ac:dyDescent="0.2">
      <c r="B329" s="3" t="s">
        <v>336</v>
      </c>
      <c r="C329" s="3"/>
      <c r="D329" s="3"/>
      <c r="E329" s="3"/>
      <c r="F329" s="3"/>
      <c r="G329" s="3"/>
      <c r="H329" s="3"/>
      <c r="I329" s="3"/>
      <c r="J329" s="3"/>
      <c r="K329" s="66"/>
      <c r="L329" s="66"/>
      <c r="M329" s="66"/>
      <c r="N329" s="66"/>
      <c r="O329" s="66"/>
    </row>
    <row r="330" spans="2:18" ht="12.95" customHeight="1" x14ac:dyDescent="0.2">
      <c r="B330" s="69" t="s">
        <v>207</v>
      </c>
      <c r="C330" s="69"/>
      <c r="D330" s="69"/>
      <c r="E330" s="69"/>
      <c r="F330" s="69"/>
      <c r="G330" s="69"/>
      <c r="H330" s="69"/>
      <c r="I330" s="69"/>
      <c r="J330" s="69"/>
      <c r="K330" s="71"/>
      <c r="L330" s="71"/>
      <c r="M330" s="71"/>
      <c r="N330" s="71"/>
      <c r="O330" s="71"/>
    </row>
    <row r="332" spans="2:18" ht="12.95" customHeight="1" x14ac:dyDescent="0.2">
      <c r="F332" s="1" t="s">
        <v>205</v>
      </c>
      <c r="J332" s="250"/>
      <c r="K332" s="15"/>
      <c r="L332" s="15"/>
      <c r="M332" s="15"/>
      <c r="N332" s="15"/>
      <c r="O332" s="15"/>
    </row>
    <row r="334" spans="2:18" ht="12.95" customHeight="1" x14ac:dyDescent="0.2">
      <c r="F334" s="1" t="s">
        <v>208</v>
      </c>
      <c r="K334" s="254"/>
      <c r="L334" s="254"/>
      <c r="M334" s="254"/>
      <c r="N334" s="254"/>
      <c r="O334" s="254"/>
    </row>
    <row r="335" spans="2:18" customFormat="1" ht="3" customHeight="1" x14ac:dyDescent="0.25">
      <c r="Q335" s="1"/>
      <c r="R335" s="1"/>
    </row>
    <row r="336" spans="2:18"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38C52-5C7B-4476-AFD0-B1CB9CFB766B}">
  <dimension ref="A2:X342"/>
  <sheetViews>
    <sheetView showGridLines="0" topLeftCell="A188" zoomScale="115" zoomScaleNormal="115" zoomScaleSheetLayoutView="85" workbookViewId="0">
      <selection activeCell="B221" sqref="B221"/>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c r="L139" s="221"/>
      <c r="M139" s="221"/>
      <c r="N139" s="221"/>
      <c r="O139" s="221"/>
      <c r="Q139" s="174" t="s">
        <v>307</v>
      </c>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si="13"/>
        <v>182.96286050053121</v>
      </c>
      <c r="L143" s="238">
        <f t="shared" si="13"/>
        <v>195.52950228475203</v>
      </c>
      <c r="M143" s="238">
        <f t="shared" si="13"/>
        <v>208.95895590231126</v>
      </c>
      <c r="N143" s="238">
        <f t="shared" si="13"/>
        <v>223.31043846513344</v>
      </c>
      <c r="O143" s="238">
        <f t="shared" si="13"/>
        <v>238.64722970282941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si="14"/>
        <v>2137.5559154857301</v>
      </c>
      <c r="L149" s="240">
        <f t="shared" si="14"/>
        <v>2153.2616405183794</v>
      </c>
      <c r="M149" s="240">
        <f t="shared" si="14"/>
        <v>2169.662867136642</v>
      </c>
      <c r="N149" s="240">
        <f t="shared" si="14"/>
        <v>2186.7629203555853</v>
      </c>
      <c r="O149" s="241">
        <f t="shared" si="14"/>
        <v>2204.5621827346149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+K256</f>
        <v>0</v>
      </c>
      <c r="L159" s="35">
        <f>+L256</f>
        <v>0</v>
      </c>
      <c r="M159" s="35">
        <f>+M256</f>
        <v>0</v>
      </c>
      <c r="N159" s="35">
        <f>+N256</f>
        <v>0</v>
      </c>
      <c r="O159" s="35">
        <f>+O256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f>+K270</f>
        <v>264.8352818440361</v>
      </c>
      <c r="L160" s="35">
        <f>+L270</f>
        <v>136.90475706452503</v>
      </c>
      <c r="M160" s="35">
        <f>+M270</f>
        <v>0</v>
      </c>
      <c r="N160" s="35">
        <f>+N270</f>
        <v>0</v>
      </c>
      <c r="O160" s="35">
        <f>+O270</f>
        <v>0</v>
      </c>
      <c r="Q160" s="174"/>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f>+K281</f>
        <v>194.68666999999994</v>
      </c>
      <c r="L161" s="35">
        <f>+L281</f>
        <v>194.68666999999994</v>
      </c>
      <c r="M161" s="35">
        <f>+M281</f>
        <v>190.7128568886391</v>
      </c>
      <c r="N161" s="35">
        <f>+N281</f>
        <v>35.707787378046476</v>
      </c>
      <c r="O161" s="35">
        <f>+O281</f>
        <v>0</v>
      </c>
      <c r="Q161" s="174"/>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f>+K291</f>
        <v>486.71667499999984</v>
      </c>
      <c r="L162" s="66">
        <f>+L291</f>
        <v>486.71667499999984</v>
      </c>
      <c r="M162" s="66">
        <f>+M291</f>
        <v>486.71667499999984</v>
      </c>
      <c r="N162" s="66">
        <f>+N291</f>
        <v>486.71667499999984</v>
      </c>
      <c r="O162" s="66">
        <f>+O291</f>
        <v>486.71667499999984</v>
      </c>
      <c r="Q162" s="174"/>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si="16"/>
        <v>946.23862684403593</v>
      </c>
      <c r="L163" s="238">
        <f t="shared" si="16"/>
        <v>818.30810206452475</v>
      </c>
      <c r="M163" s="238">
        <f t="shared" si="16"/>
        <v>677.42953188863896</v>
      </c>
      <c r="N163" s="238">
        <f t="shared" si="16"/>
        <v>522.42446237804631</v>
      </c>
      <c r="O163" s="238">
        <f t="shared" si="16"/>
        <v>486.71667499999984</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+J165+K113</f>
        <v>1024.7429196329997</v>
      </c>
      <c r="L165" s="35">
        <f>+K165+L113</f>
        <v>1161.8023720306196</v>
      </c>
      <c r="M165" s="35">
        <f>+L165+M113</f>
        <v>1311.7253341803346</v>
      </c>
      <c r="N165" s="35">
        <f>+M165+N113</f>
        <v>1475.6411061306896</v>
      </c>
      <c r="O165" s="35">
        <f>+N165+O113</f>
        <v>1654.7740587392409</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si="17"/>
        <v>2142.5559154857301</v>
      </c>
      <c r="L166" s="22">
        <f t="shared" si="17"/>
        <v>2163.2616405183794</v>
      </c>
      <c r="M166" s="22">
        <f t="shared" si="17"/>
        <v>2184.6628671366425</v>
      </c>
      <c r="N166" s="22">
        <f t="shared" si="17"/>
        <v>2206.7629203555853</v>
      </c>
      <c r="O166" s="23">
        <f t="shared" si="17"/>
        <v>2364.2659562691242</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1</v>
      </c>
      <c r="L168" s="175">
        <f t="shared" si="18"/>
        <v>1</v>
      </c>
      <c r="M168" s="175">
        <f t="shared" si="18"/>
        <v>1</v>
      </c>
      <c r="N168" s="175">
        <f t="shared" si="18"/>
        <v>1</v>
      </c>
      <c r="O168" s="175">
        <f t="shared" si="18"/>
        <v>1</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22.413878491836641</v>
      </c>
      <c r="L186" s="200">
        <f>+(L143-L139)-L154</f>
        <v>24.17549995151694</v>
      </c>
      <c r="M186" s="200">
        <f>+(M143-M139)-M154</f>
        <v>26.073920410942577</v>
      </c>
      <c r="N186" s="200">
        <f>+(N143-N139)-N154</f>
        <v>28.11965978492529</v>
      </c>
      <c r="O186" s="200">
        <f>+(O143-O139)-O154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+K186/K171</f>
        <v>2.0329334917528644E-2</v>
      </c>
      <c r="L187" s="203">
        <f>+L186/L171</f>
        <v>2.0492636846519387E-2</v>
      </c>
      <c r="M187" s="203">
        <f>+M186/M171</f>
        <v>2.0655938775510207E-2</v>
      </c>
      <c r="N187" s="203">
        <f>+N186/N171</f>
        <v>2.0819240704500967E-2</v>
      </c>
      <c r="O187" s="203">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+K113</f>
        <v>125.23737093299992</v>
      </c>
      <c r="L193" s="15">
        <f>+L113</f>
        <v>137.05945239761996</v>
      </c>
      <c r="M193" s="15">
        <f>+M113</f>
        <v>149.92296214971503</v>
      </c>
      <c r="N193" s="15">
        <f>+N113</f>
        <v>163.91577195035512</v>
      </c>
      <c r="O193" s="15">
        <f>+O113</f>
        <v>179.13295260855125</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c r="L196" s="62"/>
      <c r="M196" s="62"/>
      <c r="N196" s="62"/>
      <c r="O196" s="62"/>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19">+(J140-K140)</f>
        <v>-4.5168657534246393</v>
      </c>
      <c r="L199" s="16">
        <f t="shared" si="19"/>
        <v>-6.3433733424657532</v>
      </c>
      <c r="M199" s="16">
        <f t="shared" si="19"/>
        <v>-6.7874094764383699</v>
      </c>
      <c r="N199" s="16">
        <f t="shared" si="19"/>
        <v>-7.2625281397890546</v>
      </c>
      <c r="O199" s="16">
        <f t="shared" si="19"/>
        <v>-7.7709051095742865</v>
      </c>
    </row>
    <row r="200" spans="2:15" ht="12.95" customHeight="1" x14ac:dyDescent="0.2">
      <c r="B200" s="1" t="str">
        <f>+"(Increase) / Decrease in "&amp;B141</f>
        <v>(Increase) / Decrease in Inventories</v>
      </c>
      <c r="H200" s="38"/>
      <c r="I200" s="38"/>
      <c r="J200" s="38"/>
      <c r="K200" s="16">
        <f t="shared" si="19"/>
        <v>-4.2586686249870525</v>
      </c>
      <c r="L200" s="16">
        <f t="shared" si="19"/>
        <v>-4.2166480077551114</v>
      </c>
      <c r="M200" s="16">
        <f t="shared" si="19"/>
        <v>-4.4949602767408265</v>
      </c>
      <c r="N200" s="16">
        <f t="shared" si="19"/>
        <v>-4.7915746881465395</v>
      </c>
      <c r="O200" s="16">
        <f t="shared" si="19"/>
        <v>-5.1076898117930227</v>
      </c>
    </row>
    <row r="201" spans="2:15" ht="12.95" customHeight="1" x14ac:dyDescent="0.2">
      <c r="B201" s="1" t="str">
        <f>+"(Increase) / Decrease in "&amp;B142</f>
        <v>(Increase) / Decrease in Prepaid Expenses</v>
      </c>
      <c r="H201" s="38"/>
      <c r="I201" s="38"/>
      <c r="J201" s="38"/>
      <c r="K201" s="16">
        <f t="shared" si="19"/>
        <v>-0.84493619999999936</v>
      </c>
      <c r="L201" s="16">
        <f t="shared" si="19"/>
        <v>-2.0066204339999985</v>
      </c>
      <c r="M201" s="16">
        <f t="shared" si="19"/>
        <v>-2.1470838643800079</v>
      </c>
      <c r="N201" s="16">
        <f t="shared" si="19"/>
        <v>-2.2973797348865972</v>
      </c>
      <c r="O201" s="16">
        <f t="shared" si="19"/>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20">+K151-J151</f>
        <v>5.1904433589041119</v>
      </c>
      <c r="L203" s="16">
        <f t="shared" si="20"/>
        <v>3.396423326794519</v>
      </c>
      <c r="M203" s="16">
        <f t="shared" si="20"/>
        <v>3.62059814071727</v>
      </c>
      <c r="N203" s="16">
        <f t="shared" si="20"/>
        <v>3.8595149542878886</v>
      </c>
      <c r="O203" s="16">
        <f t="shared" si="20"/>
        <v>4.1141391908688973</v>
      </c>
    </row>
    <row r="204" spans="2:15" ht="12.95" customHeight="1" x14ac:dyDescent="0.2">
      <c r="B204" s="1" t="str">
        <f>+"Increase / (Decrease) in "&amp;B152</f>
        <v>Increase / (Decrease) in Accrued Liabilities</v>
      </c>
      <c r="H204" s="38"/>
      <c r="I204" s="38"/>
      <c r="J204" s="38"/>
      <c r="K204" s="16">
        <f t="shared" si="20"/>
        <v>5.0838265539000034</v>
      </c>
      <c r="L204" s="16">
        <f t="shared" si="20"/>
        <v>3.5497115477460071</v>
      </c>
      <c r="M204" s="16">
        <f t="shared" si="20"/>
        <v>3.7814275859163331</v>
      </c>
      <c r="N204" s="16">
        <f t="shared" si="20"/>
        <v>4.0281902828465519</v>
      </c>
      <c r="O204" s="16">
        <f t="shared" si="20"/>
        <v>4.2909707621760305</v>
      </c>
    </row>
    <row r="205" spans="2:15" ht="12.95" customHeight="1" x14ac:dyDescent="0.2">
      <c r="B205" s="1" t="str">
        <f>+"Increase / (Decrease) in "&amp;B153</f>
        <v>Increase / (Decrease) in Deferred Revenue</v>
      </c>
      <c r="H205" s="38"/>
      <c r="I205" s="38"/>
      <c r="J205" s="38"/>
      <c r="K205" s="16">
        <f t="shared" si="20"/>
        <v>11.334509999999995</v>
      </c>
      <c r="L205" s="16">
        <f t="shared" si="20"/>
        <v>3.8588854500000025</v>
      </c>
      <c r="M205" s="16">
        <f t="shared" si="20"/>
        <v>4.129007431500014</v>
      </c>
      <c r="N205" s="16">
        <f t="shared" si="20"/>
        <v>4.4180379517050028</v>
      </c>
      <c r="O205" s="16">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7" s="4" customFormat="1" ht="12.95" customHeight="1" x14ac:dyDescent="0.2">
      <c r="B209" s="207" t="s">
        <v>69</v>
      </c>
      <c r="C209" s="208"/>
      <c r="D209" s="208"/>
      <c r="E209" s="208"/>
      <c r="F209" s="208"/>
      <c r="G209" s="208"/>
      <c r="H209" s="209"/>
      <c r="I209" s="209"/>
      <c r="J209" s="209"/>
      <c r="K209" s="22">
        <f>+SUM(K193:K196,K207)</f>
        <v>175.29341420596378</v>
      </c>
      <c r="L209" s="22">
        <f>+SUM(L193:L196,L207)</f>
        <v>182.47861395751107</v>
      </c>
      <c r="M209" s="22">
        <f>+SUM(M193:M196,M207)</f>
        <v>199.52617387516088</v>
      </c>
      <c r="N209" s="22">
        <f>+SUM(N193:N196,N207)</f>
        <v>218.08333412714893</v>
      </c>
      <c r="O209" s="23">
        <f>+SUM(O193:O196,O207)</f>
        <v>238.27790571668606</v>
      </c>
    </row>
    <row r="210" spans="1:17" s="4" customFormat="1" ht="12.95" customHeight="1" x14ac:dyDescent="0.2"/>
    <row r="211" spans="1:17" ht="12.95" customHeight="1" x14ac:dyDescent="0.2">
      <c r="B211" s="24" t="s">
        <v>70</v>
      </c>
    </row>
    <row r="212" spans="1:17"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7"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7" ht="12.95" customHeight="1" x14ac:dyDescent="0.2">
      <c r="B215" s="24" t="s">
        <v>81</v>
      </c>
    </row>
    <row r="216" spans="1:17" ht="12.95" customHeight="1" x14ac:dyDescent="0.2">
      <c r="B216" s="1" t="s">
        <v>82</v>
      </c>
      <c r="H216" s="25"/>
      <c r="I216" s="25"/>
      <c r="J216" s="25"/>
      <c r="K216" s="16"/>
      <c r="L216" s="16"/>
      <c r="M216" s="16"/>
      <c r="N216" s="16"/>
      <c r="O216" s="16"/>
      <c r="Q216" s="174" t="s">
        <v>269</v>
      </c>
    </row>
    <row r="217" spans="1:17" ht="12.95" customHeight="1" x14ac:dyDescent="0.2">
      <c r="B217" s="3" t="s">
        <v>83</v>
      </c>
      <c r="C217" s="3"/>
      <c r="D217" s="3"/>
      <c r="E217" s="3"/>
      <c r="F217" s="3"/>
      <c r="G217" s="3"/>
      <c r="H217" s="27"/>
      <c r="I217" s="27"/>
      <c r="J217" s="27"/>
      <c r="K217" s="66"/>
      <c r="L217" s="66"/>
      <c r="M217" s="66"/>
      <c r="N217" s="66"/>
      <c r="O217" s="66"/>
      <c r="Q217" s="174" t="s">
        <v>270</v>
      </c>
    </row>
    <row r="218" spans="1:17" s="76" customFormat="1" ht="12.95" customHeight="1" x14ac:dyDescent="0.2">
      <c r="B218" s="69" t="s">
        <v>84</v>
      </c>
      <c r="C218" s="69"/>
      <c r="D218" s="69"/>
      <c r="E218" s="69"/>
      <c r="F218" s="69"/>
      <c r="G218" s="69"/>
      <c r="H218" s="210"/>
      <c r="I218" s="210"/>
      <c r="J218" s="210"/>
      <c r="K218" s="71">
        <f>+SUM(K216:K217)</f>
        <v>0</v>
      </c>
      <c r="L218" s="71">
        <f>+SUM(L216:L217)</f>
        <v>0</v>
      </c>
      <c r="M218" s="71">
        <f>+SUM(M216:M217)</f>
        <v>0</v>
      </c>
      <c r="N218" s="71">
        <f>+SUM(N216:N217)</f>
        <v>0</v>
      </c>
      <c r="O218" s="71">
        <f>+SUM(O216:O217)</f>
        <v>0</v>
      </c>
    </row>
    <row r="220" spans="1:17" ht="12.95" customHeight="1" x14ac:dyDescent="0.2">
      <c r="B220" s="207" t="s">
        <v>87</v>
      </c>
      <c r="C220" s="208"/>
      <c r="D220" s="208"/>
      <c r="E220" s="208"/>
      <c r="F220" s="208"/>
      <c r="G220" s="208"/>
      <c r="H220" s="209"/>
      <c r="I220" s="209"/>
      <c r="J220" s="209"/>
      <c r="K220" s="22">
        <f>+K209+K213+K218</f>
        <v>129.53805815596377</v>
      </c>
      <c r="L220" s="22">
        <f>+L209+L213+L218</f>
        <v>132.93052477951107</v>
      </c>
      <c r="M220" s="22">
        <f>+M209+M213+M218</f>
        <v>145.87857017588587</v>
      </c>
      <c r="N220" s="22">
        <f>+N209+N213+N218</f>
        <v>160.00506951059262</v>
      </c>
      <c r="O220" s="23">
        <f>+O209+O213+O218</f>
        <v>175.4115609125555</v>
      </c>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+L268</f>
        <v>-7.787466799999998</v>
      </c>
      <c r="M227" s="211">
        <f>+M268</f>
        <v>-7.787466799999998</v>
      </c>
      <c r="N227" s="211">
        <f>+N268</f>
        <v>0</v>
      </c>
      <c r="O227" s="211">
        <f>+O268</f>
        <v>0</v>
      </c>
    </row>
    <row r="228" spans="2:15" s="76" customFormat="1" ht="12.95" customHeight="1" x14ac:dyDescent="0.2">
      <c r="B228" s="69" t="s">
        <v>74</v>
      </c>
      <c r="C228" s="69"/>
      <c r="D228" s="69"/>
      <c r="E228" s="69"/>
      <c r="F228" s="69"/>
      <c r="G228" s="69"/>
      <c r="H228" s="212"/>
      <c r="I228" s="212"/>
      <c r="J228" s="212"/>
      <c r="K228" s="71">
        <f>+SUM(K227)</f>
        <v>-7.787466799999998</v>
      </c>
      <c r="L228" s="71">
        <f>+SUM(L227)</f>
        <v>-7.787466799999998</v>
      </c>
      <c r="M228" s="71">
        <f>+SUM(M227)</f>
        <v>-7.787466799999998</v>
      </c>
      <c r="N228" s="71">
        <f>+SUM(N227)</f>
        <v>0</v>
      </c>
      <c r="O228" s="71">
        <f>+SUM(O227)</f>
        <v>0</v>
      </c>
    </row>
    <row r="230" spans="2:15" ht="12.95" customHeight="1" x14ac:dyDescent="0.2">
      <c r="B230" s="24" t="s">
        <v>196</v>
      </c>
    </row>
    <row r="231" spans="2:15" ht="12.95" customHeight="1" x14ac:dyDescent="0.2">
      <c r="B231" s="1" t="s">
        <v>122</v>
      </c>
      <c r="K231" s="16">
        <f>+K209+K213</f>
        <v>129.53805815596377</v>
      </c>
      <c r="L231" s="16">
        <f>+L209+L213</f>
        <v>132.93052477951107</v>
      </c>
      <c r="M231" s="16">
        <f>+M209+M213</f>
        <v>145.87857017588587</v>
      </c>
      <c r="N231" s="16">
        <f>+N209+N213</f>
        <v>160.00506951059262</v>
      </c>
      <c r="O231" s="16">
        <f>+O209+O213</f>
        <v>175.4115609125555</v>
      </c>
    </row>
    <row r="232" spans="2:15" ht="12.95" customHeight="1" x14ac:dyDescent="0.2">
      <c r="B232" s="1" t="s">
        <v>123</v>
      </c>
      <c r="K232" s="16">
        <f>+K228</f>
        <v>-7.787466799999998</v>
      </c>
      <c r="L232" s="16">
        <f>+L228</f>
        <v>-7.787466799999998</v>
      </c>
      <c r="M232" s="16">
        <f>+M228</f>
        <v>-7.787466799999998</v>
      </c>
      <c r="N232" s="16">
        <f>+N228</f>
        <v>0</v>
      </c>
      <c r="O232" s="16">
        <f>+O228</f>
        <v>0</v>
      </c>
    </row>
    <row r="233" spans="2:15" s="76" customFormat="1" ht="12.95" customHeight="1" x14ac:dyDescent="0.2">
      <c r="B233" s="20" t="s">
        <v>75</v>
      </c>
      <c r="C233" s="21"/>
      <c r="D233" s="21"/>
      <c r="E233" s="21"/>
      <c r="F233" s="21"/>
      <c r="G233" s="21"/>
      <c r="H233" s="21"/>
      <c r="I233" s="21"/>
      <c r="J233" s="21"/>
      <c r="K233" s="22">
        <f>SUM(K231:K232)</f>
        <v>121.75059135596376</v>
      </c>
      <c r="L233" s="22">
        <f>SUM(L231:L232)</f>
        <v>125.14305797951107</v>
      </c>
      <c r="M233" s="22">
        <f>SUM(M231:M232)</f>
        <v>138.09110337588587</v>
      </c>
      <c r="N233" s="22">
        <f>SUM(N231:N232)</f>
        <v>160.00506951059262</v>
      </c>
      <c r="O233" s="23">
        <f>SUM(O231:O232)</f>
        <v>175.4115609125555</v>
      </c>
    </row>
    <row r="235" spans="2:15" ht="12.95" customHeight="1" x14ac:dyDescent="0.2">
      <c r="B235" s="1" t="s">
        <v>76</v>
      </c>
      <c r="H235" s="38"/>
      <c r="I235" s="38"/>
      <c r="J235" s="38"/>
      <c r="K235" s="16">
        <f>+J139</f>
        <v>0</v>
      </c>
      <c r="L235" s="16">
        <f>+K139</f>
        <v>0</v>
      </c>
      <c r="M235" s="16">
        <f>+L139</f>
        <v>0</v>
      </c>
      <c r="N235" s="16">
        <f>+M139</f>
        <v>0</v>
      </c>
      <c r="O235" s="16">
        <f>+N139</f>
        <v>0</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+K233</f>
        <v>121.75059135596376</v>
      </c>
      <c r="L237" s="35">
        <f>+L233</f>
        <v>125.14305797951107</v>
      </c>
      <c r="M237" s="35">
        <f>+M233</f>
        <v>138.09110337588587</v>
      </c>
      <c r="N237" s="35">
        <f>+N233</f>
        <v>160.00506951059262</v>
      </c>
      <c r="O237" s="35">
        <f>+O233</f>
        <v>175.4115609125555</v>
      </c>
    </row>
    <row r="238" spans="2:15" s="76" customFormat="1" ht="12.95" customHeight="1" x14ac:dyDescent="0.2">
      <c r="B238" s="20" t="s">
        <v>86</v>
      </c>
      <c r="C238" s="21"/>
      <c r="D238" s="21"/>
      <c r="E238" s="21"/>
      <c r="F238" s="21"/>
      <c r="G238" s="21"/>
      <c r="H238" s="172"/>
      <c r="I238" s="172"/>
      <c r="J238" s="172"/>
      <c r="K238" s="22">
        <f>SUM(K235:K237)</f>
        <v>116.75059135596376</v>
      </c>
      <c r="L238" s="22">
        <f>SUM(L235:L237)</f>
        <v>120.14305797951107</v>
      </c>
      <c r="M238" s="22">
        <f>SUM(M235:M237)</f>
        <v>133.09110337588587</v>
      </c>
      <c r="N238" s="22">
        <f>SUM(N235:N237)</f>
        <v>155.00506951059262</v>
      </c>
      <c r="O238" s="23">
        <f>SUM(O235:O237)</f>
        <v>170.4115609125555</v>
      </c>
    </row>
    <row r="240" spans="2:15" s="76" customFormat="1" ht="12.95" customHeight="1" x14ac:dyDescent="0.2">
      <c r="B240" s="24" t="s">
        <v>79</v>
      </c>
    </row>
    <row r="241" spans="1:15" ht="12.95" customHeight="1" x14ac:dyDescent="0.2">
      <c r="B241" s="1" t="str">
        <f>+B159</f>
        <v>Revolving Credit Facility</v>
      </c>
      <c r="K241" s="16">
        <f>+K255</f>
        <v>0</v>
      </c>
      <c r="L241" s="16">
        <f>+L255</f>
        <v>0</v>
      </c>
      <c r="M241" s="16">
        <f>+M255</f>
        <v>0</v>
      </c>
      <c r="N241" s="16">
        <f>+N255</f>
        <v>0</v>
      </c>
      <c r="O241" s="16">
        <f>+O255</f>
        <v>0</v>
      </c>
    </row>
    <row r="242" spans="1:15" ht="12.95" customHeight="1" x14ac:dyDescent="0.2">
      <c r="B242" s="1" t="str">
        <f>+B160</f>
        <v>First Lien Term Loan</v>
      </c>
      <c r="K242" s="16">
        <f>+K269</f>
        <v>-116.75059135596376</v>
      </c>
      <c r="L242" s="16">
        <f>+L269</f>
        <v>-120.14305797951107</v>
      </c>
      <c r="M242" s="16">
        <f>+M269</f>
        <v>-129.11729026452502</v>
      </c>
      <c r="N242" s="16">
        <f>+N269</f>
        <v>0</v>
      </c>
      <c r="O242" s="16">
        <f>+O269</f>
        <v>0</v>
      </c>
    </row>
    <row r="243" spans="1:15" ht="12.95" customHeight="1" x14ac:dyDescent="0.2">
      <c r="B243" s="1" t="str">
        <f>+B161</f>
        <v>Second Lien Term Loan</v>
      </c>
      <c r="K243" s="16">
        <f>+K280</f>
        <v>0</v>
      </c>
      <c r="L243" s="16">
        <f>+L280</f>
        <v>0</v>
      </c>
      <c r="M243" s="16">
        <f>+M280</f>
        <v>-3.9738131113608404</v>
      </c>
      <c r="N243" s="16">
        <f>+N280</f>
        <v>-155.00506951059262</v>
      </c>
      <c r="O243" s="16">
        <f>+O280</f>
        <v>-35.707787378046476</v>
      </c>
    </row>
    <row r="244" spans="1:15" ht="12.95" customHeight="1" x14ac:dyDescent="0.2">
      <c r="B244" s="3" t="str">
        <f>+B162</f>
        <v>Notes</v>
      </c>
      <c r="C244" s="3"/>
      <c r="D244" s="3"/>
      <c r="E244" s="3"/>
      <c r="F244" s="3"/>
      <c r="G244" s="3"/>
      <c r="H244" s="3"/>
      <c r="I244" s="3"/>
      <c r="J244" s="3"/>
      <c r="K244" s="66">
        <f>+K290</f>
        <v>0</v>
      </c>
      <c r="L244" s="66">
        <f>+L290</f>
        <v>0</v>
      </c>
      <c r="M244" s="66">
        <f>+M290</f>
        <v>0</v>
      </c>
      <c r="N244" s="66">
        <f>+N290</f>
        <v>0</v>
      </c>
      <c r="O244" s="66">
        <f>+O290</f>
        <v>0</v>
      </c>
    </row>
    <row r="245" spans="1:15" s="76" customFormat="1" ht="12.95" customHeight="1" x14ac:dyDescent="0.2">
      <c r="B245" s="69" t="s">
        <v>80</v>
      </c>
      <c r="C245" s="69"/>
      <c r="D245" s="69"/>
      <c r="E245" s="69"/>
      <c r="F245" s="69"/>
      <c r="G245" s="69"/>
      <c r="H245" s="69"/>
      <c r="I245" s="69"/>
      <c r="J245" s="69"/>
      <c r="K245" s="71">
        <f>SUM(K241:K244)</f>
        <v>-116.75059135596376</v>
      </c>
      <c r="L245" s="71">
        <f>SUM(L241:L244)</f>
        <v>-120.14305797951107</v>
      </c>
      <c r="M245" s="71">
        <f>SUM(M241:M244)</f>
        <v>-133.09110337588587</v>
      </c>
      <c r="N245" s="71">
        <f>SUM(N241:N244)</f>
        <v>-155.00506951059262</v>
      </c>
      <c r="O245" s="71">
        <f>SUM(O241:O244)</f>
        <v>-35.707787378046476</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206"/>
      <c r="M249" s="206"/>
      <c r="N249" s="206"/>
      <c r="O249" s="206"/>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13">
        <v>0.02</v>
      </c>
      <c r="L251" s="214">
        <f>+K251</f>
        <v>0.02</v>
      </c>
      <c r="M251" s="214">
        <f>+L251</f>
        <v>0.02</v>
      </c>
      <c r="N251" s="214">
        <f>+M251</f>
        <v>0.02</v>
      </c>
      <c r="O251" s="214">
        <f>+N251</f>
        <v>0.02</v>
      </c>
    </row>
    <row r="252" spans="1:15" s="4" customFormat="1" ht="12.95" customHeight="1" x14ac:dyDescent="0.2">
      <c r="K252" s="118"/>
      <c r="L252" s="118"/>
      <c r="M252" s="118"/>
      <c r="N252" s="118"/>
      <c r="O252" s="118"/>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15">
        <f>+J159</f>
        <v>0</v>
      </c>
      <c r="L254" s="54">
        <f>+K256</f>
        <v>0</v>
      </c>
      <c r="M254" s="54">
        <f>+L256</f>
        <v>0</v>
      </c>
      <c r="N254" s="54">
        <f>+M256</f>
        <v>0</v>
      </c>
      <c r="O254" s="54">
        <f>+N256</f>
        <v>0</v>
      </c>
    </row>
    <row r="255" spans="1:15" ht="12.95" customHeight="1" x14ac:dyDescent="0.2">
      <c r="B255" s="3" t="s">
        <v>94</v>
      </c>
      <c r="C255" s="3"/>
      <c r="D255" s="3"/>
      <c r="E255" s="3"/>
      <c r="F255" s="3"/>
      <c r="G255" s="3"/>
      <c r="H255" s="3"/>
      <c r="I255" s="3"/>
      <c r="J255" s="3"/>
      <c r="K255" s="66">
        <f>-MIN(K238,K254)</f>
        <v>0</v>
      </c>
      <c r="L255" s="66">
        <f>-MIN(L238,L254)</f>
        <v>0</v>
      </c>
      <c r="M255" s="66">
        <f>-MIN(M238,M254)</f>
        <v>0</v>
      </c>
      <c r="N255" s="66">
        <f>-MIN(N238,N254)</f>
        <v>0</v>
      </c>
      <c r="O255" s="66">
        <f>-MIN(O238,O254)</f>
        <v>0</v>
      </c>
    </row>
    <row r="256" spans="1:15" ht="12.95" customHeight="1" x14ac:dyDescent="0.2">
      <c r="B256" s="69" t="s">
        <v>192</v>
      </c>
      <c r="C256" s="69"/>
      <c r="D256" s="69"/>
      <c r="E256" s="69"/>
      <c r="F256" s="69"/>
      <c r="G256" s="69"/>
      <c r="H256" s="69"/>
      <c r="I256" s="69"/>
      <c r="J256" s="69"/>
      <c r="K256" s="71">
        <f>SUM(K254:K255)</f>
        <v>0</v>
      </c>
      <c r="L256" s="71">
        <f>SUM(L254:L255)</f>
        <v>0</v>
      </c>
      <c r="M256" s="71">
        <f>SUM(M254:M255)</f>
        <v>0</v>
      </c>
      <c r="N256" s="71">
        <f>SUM(N254:N255)</f>
        <v>0</v>
      </c>
      <c r="O256" s="71">
        <f>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+AVERAGE(K254,K256)</f>
        <v>0</v>
      </c>
      <c r="L258" s="35">
        <f>+AVERAGE(L254,L256)</f>
        <v>0</v>
      </c>
      <c r="M258" s="35">
        <f>+AVERAGE(M254,M256)</f>
        <v>0</v>
      </c>
      <c r="N258" s="35">
        <f>+AVERAGE(N254,N256)</f>
        <v>0</v>
      </c>
      <c r="O258" s="35">
        <f>+AVERAGE(O254,O256)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c r="L260" s="54"/>
      <c r="M260" s="54"/>
      <c r="N260" s="54"/>
      <c r="O260" s="54"/>
    </row>
    <row r="261" spans="2:15" s="4" customFormat="1" ht="12.95" customHeight="1" x14ac:dyDescent="0.2">
      <c r="B261" s="4" t="s">
        <v>158</v>
      </c>
      <c r="G261" s="4" t="s">
        <v>147</v>
      </c>
      <c r="I261" s="218">
        <v>25</v>
      </c>
      <c r="K261" s="15"/>
      <c r="L261" s="15"/>
      <c r="M261" s="15"/>
      <c r="N261" s="15"/>
      <c r="O261" s="15"/>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+IF(K256&gt;$I$258,1,0)</f>
        <v>0</v>
      </c>
      <c r="L264" s="14">
        <f>+IF(L256&gt;$I$258,1,0)</f>
        <v>0</v>
      </c>
      <c r="M264" s="14">
        <f>+IF(M256&gt;$I$258,1,0)</f>
        <v>0</v>
      </c>
      <c r="N264" s="14">
        <f>+IF(N256&gt;$I$258,1,0)</f>
        <v>0</v>
      </c>
      <c r="O264" s="14">
        <f>+IF(O256&gt;$I$258,1,0)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+K270</f>
        <v>264.8352818440361</v>
      </c>
      <c r="M267" s="54">
        <f>+L270</f>
        <v>136.90475706452503</v>
      </c>
      <c r="N267" s="54">
        <f>+M270</f>
        <v>0</v>
      </c>
      <c r="O267" s="54">
        <f>+N270</f>
        <v>0</v>
      </c>
    </row>
    <row r="268" spans="2:15" s="4" customFormat="1" ht="12.95" customHeight="1" x14ac:dyDescent="0.2">
      <c r="B268" s="33" t="s">
        <v>92</v>
      </c>
      <c r="G268" s="4" t="s">
        <v>97</v>
      </c>
      <c r="I268" s="219">
        <v>0.02</v>
      </c>
      <c r="K268" s="35">
        <f>-MIN($K$267*$I$268,K267)</f>
        <v>-7.787466799999998</v>
      </c>
      <c r="L268" s="35">
        <f>-MIN($K$267*$I$268,L267)</f>
        <v>-7.787466799999998</v>
      </c>
      <c r="M268" s="35">
        <f>-MIN($K$267*$I$268,M267)</f>
        <v>-7.787466799999998</v>
      </c>
      <c r="N268" s="35">
        <f>-MIN($K$267*$I$268,N267)</f>
        <v>0</v>
      </c>
      <c r="O268" s="35">
        <f>-MIN($K$267*$I$268,O267)</f>
        <v>0</v>
      </c>
    </row>
    <row r="269" spans="2:15" ht="12.95" customHeight="1" x14ac:dyDescent="0.2">
      <c r="B269" s="3" t="s">
        <v>89</v>
      </c>
      <c r="C269" s="3"/>
      <c r="D269" s="3"/>
      <c r="E269" s="3"/>
      <c r="F269" s="3"/>
      <c r="G269" s="3"/>
      <c r="H269" s="3"/>
      <c r="I269" s="3"/>
      <c r="J269" s="3"/>
      <c r="K269" s="66">
        <f>-MIN(SUM(K267:K268),SUM(K238:K241))</f>
        <v>-116.75059135596376</v>
      </c>
      <c r="L269" s="66">
        <f>-MIN(SUM(L267:L268),SUM(L238:L241))</f>
        <v>-120.14305797951107</v>
      </c>
      <c r="M269" s="66">
        <f>-MIN(SUM(M267:M268),SUM(M238:M241))</f>
        <v>-129.11729026452502</v>
      </c>
      <c r="N269" s="66">
        <f>-MIN(SUM(N267:N268),SUM(N238:N241))</f>
        <v>0</v>
      </c>
      <c r="O269" s="66">
        <f>-MIN(SUM(O267:O268),SUM(O238:O241))</f>
        <v>0</v>
      </c>
    </row>
    <row r="270" spans="2:15" ht="12.95" customHeight="1" x14ac:dyDescent="0.2">
      <c r="B270" s="69" t="s">
        <v>192</v>
      </c>
      <c r="C270" s="69"/>
      <c r="D270" s="69"/>
      <c r="E270" s="69"/>
      <c r="F270" s="69"/>
      <c r="G270" s="69"/>
      <c r="H270" s="4"/>
      <c r="I270" s="69"/>
      <c r="J270" s="69"/>
      <c r="K270" s="71">
        <f>SUM(K267:K269)</f>
        <v>264.8352818440361</v>
      </c>
      <c r="L270" s="71">
        <f>SUM(L267:L269)</f>
        <v>136.90475706452503</v>
      </c>
      <c r="M270" s="71">
        <f>SUM(M267:M269)</f>
        <v>0</v>
      </c>
      <c r="N270" s="71">
        <f>SUM(N267:N269)</f>
        <v>0</v>
      </c>
      <c r="O270" s="71">
        <f>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+AVERAGE(K267,K270)</f>
        <v>327.10431092201799</v>
      </c>
      <c r="L272" s="16">
        <f>+AVERAGE(L267,L270)</f>
        <v>200.87001945428057</v>
      </c>
      <c r="M272" s="16">
        <f>+AVERAGE(M267,M270)</f>
        <v>68.452378532262514</v>
      </c>
      <c r="N272" s="16">
        <f>+AVERAGE(N267,N270)</f>
        <v>0</v>
      </c>
      <c r="O272" s="16">
        <f>+AVERAGE(O267,O270)</f>
        <v>0</v>
      </c>
    </row>
    <row r="273" spans="2:15"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c r="L274" s="54"/>
      <c r="M274" s="54"/>
      <c r="N274" s="54"/>
      <c r="O274" s="54"/>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20">
        <f>+J161</f>
        <v>194.68666999999994</v>
      </c>
      <c r="L278" s="54">
        <f>+K281</f>
        <v>194.68666999999994</v>
      </c>
      <c r="M278" s="54">
        <f t="shared" ref="M278:O278" si="21">+L281</f>
        <v>194.68666999999994</v>
      </c>
      <c r="N278" s="54">
        <f t="shared" si="21"/>
        <v>190.7128568886391</v>
      </c>
      <c r="O278" s="54">
        <f t="shared" si="21"/>
        <v>35.707787378046476</v>
      </c>
    </row>
    <row r="279" spans="2:15" s="4" customFormat="1" ht="12.95" customHeight="1" x14ac:dyDescent="0.2">
      <c r="B279" s="4" t="s">
        <v>109</v>
      </c>
      <c r="K279" s="222"/>
      <c r="L279" s="62"/>
      <c r="M279" s="62"/>
      <c r="N279" s="62"/>
      <c r="O279" s="62"/>
    </row>
    <row r="280" spans="2:15" s="4" customFormat="1" ht="12.95" customHeight="1" x14ac:dyDescent="0.2">
      <c r="B280" s="3" t="s">
        <v>89</v>
      </c>
      <c r="C280" s="3"/>
      <c r="D280" s="3"/>
      <c r="E280" s="3"/>
      <c r="F280" s="3"/>
      <c r="G280" s="3"/>
      <c r="H280" s="3"/>
      <c r="I280" s="3"/>
      <c r="J280" s="3"/>
      <c r="K280" s="66">
        <f>-MIN(SUM(K278:K279),SUM(K238:K242))</f>
        <v>0</v>
      </c>
      <c r="L280" s="66">
        <f>-MIN(SUM(L278:L279),SUM(L238:L242))</f>
        <v>0</v>
      </c>
      <c r="M280" s="66">
        <f>-MIN(SUM(M278:M279),SUM(M238:M242))</f>
        <v>-3.9738131113608404</v>
      </c>
      <c r="N280" s="66">
        <f>-MIN(SUM(N278:N279),SUM(N238:N242))</f>
        <v>-155.00506951059262</v>
      </c>
      <c r="O280" s="66">
        <f>-MIN(SUM(O278:O279),SUM(O238:O242))</f>
        <v>-35.707787378046476</v>
      </c>
    </row>
    <row r="281" spans="2:15" s="4" customFormat="1" ht="12.95" customHeight="1" x14ac:dyDescent="0.2">
      <c r="B281" s="69" t="s">
        <v>192</v>
      </c>
      <c r="C281" s="69"/>
      <c r="D281" s="69"/>
      <c r="E281" s="69"/>
      <c r="F281" s="69"/>
      <c r="G281" s="69"/>
      <c r="I281" s="69"/>
      <c r="J281" s="69"/>
      <c r="K281" s="71">
        <f>SUM(K278:K280)</f>
        <v>194.68666999999994</v>
      </c>
      <c r="L281" s="71">
        <f>SUM(L278:L280)</f>
        <v>194.68666999999994</v>
      </c>
      <c r="M281" s="71">
        <f>SUM(M278:M280)</f>
        <v>190.7128568886391</v>
      </c>
      <c r="N281" s="71">
        <f>SUM(N278:N280)</f>
        <v>35.707787378046476</v>
      </c>
      <c r="O281" s="71">
        <f>SUM(O278:O280)</f>
        <v>0</v>
      </c>
    </row>
    <row r="282" spans="2:15" ht="12.95" customHeight="1" x14ac:dyDescent="0.2">
      <c r="B282" s="69"/>
      <c r="C282" s="69"/>
      <c r="D282" s="69"/>
      <c r="E282" s="69"/>
      <c r="F282" s="69"/>
      <c r="G282" s="69"/>
      <c r="H282" s="4"/>
      <c r="I282" s="69"/>
      <c r="J282" s="69"/>
      <c r="K282" s="154"/>
      <c r="L282" s="154"/>
      <c r="M282" s="154"/>
      <c r="N282" s="154"/>
      <c r="O282" s="154"/>
    </row>
    <row r="283" spans="2:15" ht="12.95" customHeight="1" x14ac:dyDescent="0.2">
      <c r="B283" s="1" t="s">
        <v>91</v>
      </c>
      <c r="G283" s="1" t="s">
        <v>110</v>
      </c>
      <c r="I283" s="223">
        <v>1</v>
      </c>
      <c r="K283" s="16">
        <f>+AVERAGE(K278,K281)</f>
        <v>194.68666999999994</v>
      </c>
      <c r="L283" s="16">
        <f>+AVERAGE(L278,L281)</f>
        <v>194.68666999999994</v>
      </c>
      <c r="M283" s="16">
        <f>+AVERAGE(M278,M281)</f>
        <v>192.6997634443195</v>
      </c>
      <c r="N283" s="16">
        <f>+AVERAGE(N278,N281)</f>
        <v>113.21032213334279</v>
      </c>
      <c r="O283" s="16">
        <f>+AVERAGE(O278,O281)</f>
        <v>17.853893689023238</v>
      </c>
    </row>
    <row r="284" spans="2:15"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c r="L285" s="54"/>
      <c r="M285" s="54"/>
      <c r="N285" s="54"/>
      <c r="O285" s="54"/>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f>+J162</f>
        <v>486.71667499999984</v>
      </c>
      <c r="L289" s="54">
        <f>+K291</f>
        <v>486.71667499999984</v>
      </c>
      <c r="M289" s="54">
        <f>+L291</f>
        <v>486.71667499999984</v>
      </c>
      <c r="N289" s="54">
        <f>+M291</f>
        <v>486.71667499999984</v>
      </c>
      <c r="O289" s="54">
        <f>+N291</f>
        <v>486.71667499999984</v>
      </c>
    </row>
    <row r="290" spans="1:17" ht="12.95" customHeight="1" x14ac:dyDescent="0.2">
      <c r="B290" s="3" t="s">
        <v>98</v>
      </c>
      <c r="C290" s="3"/>
      <c r="D290" s="3"/>
      <c r="E290" s="3"/>
      <c r="F290" s="3"/>
      <c r="G290" s="3" t="s">
        <v>99</v>
      </c>
      <c r="H290" s="133"/>
      <c r="I290" s="224">
        <v>2026</v>
      </c>
      <c r="J290" s="3"/>
      <c r="K290" s="66">
        <f>-MIN(K289,SUM(K238:K243))*IF($I$290=K$250,1,0)</f>
        <v>0</v>
      </c>
      <c r="L290" s="66">
        <f t="shared" ref="L290:O290" si="22">-MIN(L289,SUM(L238:L243))*IF($I$290=L$250,1,0)</f>
        <v>0</v>
      </c>
      <c r="M290" s="66">
        <f t="shared" si="22"/>
        <v>0</v>
      </c>
      <c r="N290" s="66">
        <f t="shared" si="22"/>
        <v>0</v>
      </c>
      <c r="O290" s="66">
        <f t="shared" si="22"/>
        <v>0</v>
      </c>
    </row>
    <row r="291" spans="1:17" ht="12.95" customHeight="1" x14ac:dyDescent="0.2">
      <c r="B291" s="69" t="s">
        <v>192</v>
      </c>
      <c r="C291" s="69"/>
      <c r="D291" s="69"/>
      <c r="E291" s="69"/>
      <c r="F291" s="69"/>
      <c r="G291" s="69"/>
      <c r="H291" s="4"/>
      <c r="I291" s="69"/>
      <c r="J291" s="69"/>
      <c r="K291" s="71">
        <f>SUM(K289:K290)</f>
        <v>486.71667499999984</v>
      </c>
      <c r="L291" s="71">
        <f>SUM(L289:L290)</f>
        <v>486.71667499999984</v>
      </c>
      <c r="M291" s="71">
        <f>SUM(M289:M290)</f>
        <v>486.71667499999984</v>
      </c>
      <c r="N291" s="71">
        <f>SUM(N289:N290)</f>
        <v>486.71667499999984</v>
      </c>
      <c r="O291" s="71">
        <f>SUM(O289:O290)</f>
        <v>486.71667499999984</v>
      </c>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f>+AVERAGE(K289,K291)</f>
        <v>486.71667499999984</v>
      </c>
      <c r="L293" s="16">
        <f>+AVERAGE(L289,L291)</f>
        <v>486.71667499999984</v>
      </c>
      <c r="M293" s="16">
        <f>+AVERAGE(M289,M291)</f>
        <v>486.71667499999984</v>
      </c>
      <c r="N293" s="16">
        <f>+AVERAGE(N289,N291)</f>
        <v>486.71667499999984</v>
      </c>
      <c r="O293" s="16">
        <f>+AVERAGE(O289,O291)</f>
        <v>486.71667499999984</v>
      </c>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K323" s="54"/>
      <c r="L323" s="54"/>
      <c r="M323" s="54"/>
      <c r="N323" s="54"/>
      <c r="O323" s="54"/>
    </row>
    <row r="324" spans="2:17" ht="12.95" customHeight="1" x14ac:dyDescent="0.2">
      <c r="B324" s="4" t="s">
        <v>200</v>
      </c>
      <c r="C324" s="4"/>
      <c r="D324" s="4"/>
      <c r="E324" s="4"/>
      <c r="F324" s="4"/>
      <c r="G324" s="4"/>
      <c r="H324" s="4"/>
      <c r="I324" s="4"/>
      <c r="J324" s="4"/>
      <c r="K324" s="253"/>
      <c r="L324" s="253"/>
      <c r="M324" s="253"/>
      <c r="N324" s="253"/>
      <c r="O324" s="253"/>
    </row>
    <row r="325" spans="2:17" ht="12.95" customHeight="1" x14ac:dyDescent="0.2">
      <c r="B325" s="226" t="s">
        <v>201</v>
      </c>
      <c r="C325" s="226"/>
      <c r="D325" s="226"/>
      <c r="E325" s="226"/>
      <c r="F325" s="226"/>
      <c r="G325" s="226"/>
      <c r="H325" s="226"/>
      <c r="I325" s="226"/>
      <c r="J325" s="226"/>
      <c r="K325" s="37"/>
      <c r="L325" s="37"/>
      <c r="M325" s="37"/>
      <c r="N325" s="37"/>
      <c r="O325" s="37"/>
    </row>
    <row r="326" spans="2:17" ht="12.95" customHeight="1" x14ac:dyDescent="0.2">
      <c r="B326" s="1" t="s">
        <v>202</v>
      </c>
      <c r="K326" s="16"/>
      <c r="L326" s="16"/>
      <c r="M326" s="16"/>
      <c r="N326" s="16"/>
      <c r="O326" s="16"/>
    </row>
    <row r="327" spans="2:17" ht="12.95" customHeight="1" x14ac:dyDescent="0.2">
      <c r="B327" s="4" t="s">
        <v>203</v>
      </c>
      <c r="C327" s="4"/>
      <c r="D327" s="4"/>
      <c r="E327" s="4"/>
      <c r="F327" s="4"/>
      <c r="G327" s="4"/>
      <c r="H327" s="4"/>
      <c r="I327" s="4"/>
      <c r="J327" s="4"/>
      <c r="K327" s="35"/>
      <c r="L327" s="35"/>
      <c r="M327" s="35"/>
      <c r="N327" s="35"/>
      <c r="O327" s="35"/>
    </row>
    <row r="328" spans="2:17" ht="12.95" customHeight="1" x14ac:dyDescent="0.2">
      <c r="B328" s="226" t="s">
        <v>204</v>
      </c>
      <c r="C328" s="226"/>
      <c r="D328" s="226"/>
      <c r="E328" s="226"/>
      <c r="F328" s="226"/>
      <c r="G328" s="226"/>
      <c r="H328" s="226"/>
      <c r="I328" s="226"/>
      <c r="J328" s="226"/>
      <c r="K328" s="37"/>
      <c r="L328" s="37"/>
      <c r="M328" s="37"/>
      <c r="N328" s="37"/>
      <c r="O328" s="37"/>
    </row>
    <row r="329" spans="2:17" ht="12.95" customHeight="1" x14ac:dyDescent="0.2">
      <c r="B329" s="3" t="s">
        <v>336</v>
      </c>
      <c r="C329" s="3"/>
      <c r="D329" s="3"/>
      <c r="E329" s="3"/>
      <c r="F329" s="3"/>
      <c r="G329" s="3"/>
      <c r="H329" s="3"/>
      <c r="I329" s="3"/>
      <c r="J329" s="3"/>
      <c r="K329" s="66"/>
      <c r="L329" s="66"/>
      <c r="M329" s="66"/>
      <c r="N329" s="66"/>
      <c r="O329" s="66"/>
    </row>
    <row r="330" spans="2:17" ht="12.95" customHeight="1" x14ac:dyDescent="0.2">
      <c r="B330" s="69" t="s">
        <v>207</v>
      </c>
      <c r="C330" s="69"/>
      <c r="D330" s="69"/>
      <c r="E330" s="69"/>
      <c r="F330" s="69"/>
      <c r="G330" s="69"/>
      <c r="H330" s="69"/>
      <c r="I330" s="69"/>
      <c r="J330" s="69"/>
      <c r="K330" s="71"/>
      <c r="L330" s="71"/>
      <c r="M330" s="71"/>
      <c r="N330" s="71"/>
      <c r="O330" s="71"/>
    </row>
    <row r="332" spans="2:17" ht="12.95" customHeight="1" x14ac:dyDescent="0.2">
      <c r="F332" s="1" t="s">
        <v>205</v>
      </c>
      <c r="J332" s="250"/>
      <c r="K332" s="15"/>
      <c r="L332" s="15"/>
      <c r="M332" s="15"/>
      <c r="N332" s="15"/>
      <c r="O332" s="15"/>
    </row>
    <row r="334" spans="2:17" ht="12.95" customHeight="1" x14ac:dyDescent="0.2">
      <c r="F334" s="1" t="s">
        <v>208</v>
      </c>
      <c r="K334" s="254"/>
      <c r="L334" s="254"/>
      <c r="M334" s="254"/>
      <c r="N334" s="254"/>
      <c r="O334" s="254"/>
    </row>
    <row r="335" spans="2:17" customFormat="1" ht="3" customHeight="1" x14ac:dyDescent="0.25">
      <c r="Q335" s="1"/>
    </row>
    <row r="336" spans="2:17"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6ACE-762A-48E3-BFE2-3500A0518BDD}">
  <dimension ref="A2:X342"/>
  <sheetViews>
    <sheetView showGridLines="0" topLeftCell="A245" zoomScale="115" zoomScaleNormal="115" zoomScaleSheetLayoutView="85" workbookViewId="0">
      <selection activeCell="T267" sqref="T267"/>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267" t="s">
        <v>284</v>
      </c>
    </row>
    <row r="110" spans="1:17" ht="12.95" customHeight="1" x14ac:dyDescent="0.2">
      <c r="B110" s="3" t="s">
        <v>198</v>
      </c>
      <c r="C110" s="3"/>
      <c r="D110" s="3"/>
      <c r="E110" s="3"/>
      <c r="F110" s="3"/>
      <c r="G110" s="3"/>
      <c r="H110" s="120">
        <v>0</v>
      </c>
      <c r="I110" s="120">
        <v>0</v>
      </c>
      <c r="J110" s="127">
        <v>0</v>
      </c>
      <c r="K110" s="62"/>
      <c r="L110" s="62"/>
      <c r="M110" s="62"/>
      <c r="N110" s="62"/>
      <c r="O110" s="62"/>
      <c r="Q110" s="267" t="s">
        <v>283</v>
      </c>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f>+J139+K220</f>
        <v>5</v>
      </c>
      <c r="L139" s="221">
        <f>+K139+L220</f>
        <v>5</v>
      </c>
      <c r="M139" s="221">
        <f>+L139+M220</f>
        <v>5</v>
      </c>
      <c r="N139" s="221">
        <f>+M139+N220</f>
        <v>5</v>
      </c>
      <c r="O139" s="221">
        <f>+N139+O220</f>
        <v>159.70377353450903</v>
      </c>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si="13"/>
        <v>187.96286050053121</v>
      </c>
      <c r="L143" s="238">
        <f t="shared" si="13"/>
        <v>200.52950228475203</v>
      </c>
      <c r="M143" s="238">
        <f t="shared" si="13"/>
        <v>213.95895590231126</v>
      </c>
      <c r="N143" s="238">
        <f t="shared" si="13"/>
        <v>228.31043846513344</v>
      </c>
      <c r="O143" s="238">
        <f t="shared" si="13"/>
        <v>398.35100323733843</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si="14"/>
        <v>2142.5559154857301</v>
      </c>
      <c r="L149" s="240">
        <f t="shared" si="14"/>
        <v>2158.2616405183794</v>
      </c>
      <c r="M149" s="240">
        <f t="shared" si="14"/>
        <v>2174.662867136642</v>
      </c>
      <c r="N149" s="240">
        <f t="shared" si="14"/>
        <v>2191.7629203555853</v>
      </c>
      <c r="O149" s="241">
        <f t="shared" si="14"/>
        <v>2364.2659562691242</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+K256</f>
        <v>0</v>
      </c>
      <c r="L159" s="35">
        <f>+L256</f>
        <v>0</v>
      </c>
      <c r="M159" s="35">
        <f>+M256</f>
        <v>0</v>
      </c>
      <c r="N159" s="35">
        <f>+N256</f>
        <v>0</v>
      </c>
      <c r="O159" s="35">
        <f>+O256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f>+K270</f>
        <v>264.8352818440361</v>
      </c>
      <c r="L160" s="35">
        <f>+L270</f>
        <v>131.90475706452503</v>
      </c>
      <c r="M160" s="35">
        <f>+M270</f>
        <v>0</v>
      </c>
      <c r="N160" s="35">
        <f>+N270</f>
        <v>0</v>
      </c>
      <c r="O160" s="35">
        <f>+O270</f>
        <v>0</v>
      </c>
      <c r="Q160" s="174"/>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f>+K281</f>
        <v>194.68666999999994</v>
      </c>
      <c r="L161" s="35">
        <f>+L281</f>
        <v>194.68666999999994</v>
      </c>
      <c r="M161" s="35">
        <f>+M281</f>
        <v>180.7128568886391</v>
      </c>
      <c r="N161" s="35">
        <f>+N281</f>
        <v>20.707787378046476</v>
      </c>
      <c r="O161" s="35">
        <f>+O281</f>
        <v>0</v>
      </c>
      <c r="Q161" s="174"/>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f>+K291</f>
        <v>486.71667499999984</v>
      </c>
      <c r="L162" s="66">
        <f>+L291</f>
        <v>486.71667499999984</v>
      </c>
      <c r="M162" s="66">
        <f>+M291</f>
        <v>486.71667499999984</v>
      </c>
      <c r="N162" s="66">
        <f>+N291</f>
        <v>486.71667499999984</v>
      </c>
      <c r="O162" s="66">
        <f>+O291</f>
        <v>486.71667499999984</v>
      </c>
      <c r="Q162" s="174"/>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si="16"/>
        <v>946.23862684403593</v>
      </c>
      <c r="L163" s="238">
        <f t="shared" si="16"/>
        <v>813.30810206452475</v>
      </c>
      <c r="M163" s="238">
        <f t="shared" si="16"/>
        <v>667.42953188863896</v>
      </c>
      <c r="N163" s="238">
        <f t="shared" si="16"/>
        <v>507.42446237804631</v>
      </c>
      <c r="O163" s="238">
        <f t="shared" si="16"/>
        <v>486.71667499999984</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+J165+K113</f>
        <v>1024.7429196329997</v>
      </c>
      <c r="L165" s="35">
        <f>+K165+L113</f>
        <v>1161.8023720306196</v>
      </c>
      <c r="M165" s="35">
        <f>+L165+M113</f>
        <v>1311.7253341803346</v>
      </c>
      <c r="N165" s="35">
        <f>+M165+N113</f>
        <v>1475.6411061306896</v>
      </c>
      <c r="O165" s="35">
        <f>+N165+O113</f>
        <v>1654.7740587392409</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si="17"/>
        <v>2142.5559154857301</v>
      </c>
      <c r="L166" s="22">
        <f t="shared" si="17"/>
        <v>2158.2616405183794</v>
      </c>
      <c r="M166" s="22">
        <f t="shared" si="17"/>
        <v>2174.6628671366425</v>
      </c>
      <c r="N166" s="22">
        <f t="shared" si="17"/>
        <v>2191.7629203555853</v>
      </c>
      <c r="O166" s="23">
        <f t="shared" si="17"/>
        <v>2364.2659562691242</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0</v>
      </c>
      <c r="L168" s="175">
        <f t="shared" si="18"/>
        <v>0</v>
      </c>
      <c r="M168" s="175">
        <f t="shared" si="18"/>
        <v>0</v>
      </c>
      <c r="N168" s="175">
        <f t="shared" si="18"/>
        <v>0</v>
      </c>
      <c r="O168" s="175">
        <f t="shared" si="18"/>
        <v>0</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22.413878491836641</v>
      </c>
      <c r="L186" s="200">
        <f>+(L143-L139)-L154</f>
        <v>24.17549995151694</v>
      </c>
      <c r="M186" s="200">
        <f>+(M143-M139)-M154</f>
        <v>26.073920410942577</v>
      </c>
      <c r="N186" s="200">
        <f>+(N143-N139)-N154</f>
        <v>28.11965978492529</v>
      </c>
      <c r="O186" s="200">
        <f>+(O143-O139)-O154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+K186/K171</f>
        <v>2.0329334917528644E-2</v>
      </c>
      <c r="L187" s="203">
        <f>+L186/L171</f>
        <v>2.0492636846519387E-2</v>
      </c>
      <c r="M187" s="203">
        <f>+M186/M171</f>
        <v>2.0655938775510207E-2</v>
      </c>
      <c r="N187" s="203">
        <f>+N186/N171</f>
        <v>2.0819240704500967E-2</v>
      </c>
      <c r="O187" s="203">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8"/>
      <c r="I193" s="108"/>
      <c r="J193" s="108"/>
      <c r="K193" s="15">
        <f>+K113</f>
        <v>125.23737093299992</v>
      </c>
      <c r="L193" s="15">
        <f>+L113</f>
        <v>137.05945239761996</v>
      </c>
      <c r="M193" s="15">
        <f>+M113</f>
        <v>149.92296214971503</v>
      </c>
      <c r="N193" s="15">
        <f>+N113</f>
        <v>163.91577195035512</v>
      </c>
      <c r="O193" s="15">
        <f>+O113</f>
        <v>179.13295260855125</v>
      </c>
    </row>
    <row r="194" spans="2:17"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7"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7" ht="12.95" customHeight="1" x14ac:dyDescent="0.2">
      <c r="B196" s="1" t="s">
        <v>150</v>
      </c>
      <c r="H196" s="38"/>
      <c r="I196" s="38"/>
      <c r="J196" s="38"/>
      <c r="K196" s="62"/>
      <c r="L196" s="62"/>
      <c r="M196" s="62"/>
      <c r="N196" s="62"/>
      <c r="O196" s="62"/>
      <c r="Q196" s="267" t="s">
        <v>282</v>
      </c>
    </row>
    <row r="198" spans="2:17" ht="12.95" customHeight="1" x14ac:dyDescent="0.2">
      <c r="B198" s="24" t="s">
        <v>85</v>
      </c>
    </row>
    <row r="199" spans="2:17" ht="12.95" customHeight="1" x14ac:dyDescent="0.2">
      <c r="B199" s="1" t="str">
        <f>+"(Increase) / Decrease in "&amp;B140</f>
        <v>(Increase) / Decrease in Accounts Receivable</v>
      </c>
      <c r="H199" s="38"/>
      <c r="I199" s="38"/>
      <c r="J199" s="38"/>
      <c r="K199" s="16">
        <f t="shared" ref="K199:O201" si="19">+(J140-K140)</f>
        <v>-4.5168657534246393</v>
      </c>
      <c r="L199" s="16">
        <f t="shared" si="19"/>
        <v>-6.3433733424657532</v>
      </c>
      <c r="M199" s="16">
        <f t="shared" si="19"/>
        <v>-6.7874094764383699</v>
      </c>
      <c r="N199" s="16">
        <f t="shared" si="19"/>
        <v>-7.2625281397890546</v>
      </c>
      <c r="O199" s="16">
        <f t="shared" si="19"/>
        <v>-7.7709051095742865</v>
      </c>
    </row>
    <row r="200" spans="2:17" ht="12.95" customHeight="1" x14ac:dyDescent="0.2">
      <c r="B200" s="1" t="str">
        <f>+"(Increase) / Decrease in "&amp;B141</f>
        <v>(Increase) / Decrease in Inventories</v>
      </c>
      <c r="H200" s="38"/>
      <c r="I200" s="38"/>
      <c r="J200" s="38"/>
      <c r="K200" s="16">
        <f t="shared" si="19"/>
        <v>-4.2586686249870525</v>
      </c>
      <c r="L200" s="16">
        <f t="shared" si="19"/>
        <v>-4.2166480077551114</v>
      </c>
      <c r="M200" s="16">
        <f t="shared" si="19"/>
        <v>-4.4949602767408265</v>
      </c>
      <c r="N200" s="16">
        <f t="shared" si="19"/>
        <v>-4.7915746881465395</v>
      </c>
      <c r="O200" s="16">
        <f t="shared" si="19"/>
        <v>-5.1076898117930227</v>
      </c>
    </row>
    <row r="201" spans="2:17" ht="12.95" customHeight="1" x14ac:dyDescent="0.2">
      <c r="B201" s="1" t="str">
        <f>+"(Increase) / Decrease in "&amp;B142</f>
        <v>(Increase) / Decrease in Prepaid Expenses</v>
      </c>
      <c r="H201" s="38"/>
      <c r="I201" s="38"/>
      <c r="J201" s="38"/>
      <c r="K201" s="16">
        <f t="shared" si="19"/>
        <v>-0.84493619999999936</v>
      </c>
      <c r="L201" s="16">
        <f t="shared" si="19"/>
        <v>-2.0066204339999985</v>
      </c>
      <c r="M201" s="16">
        <f t="shared" si="19"/>
        <v>-2.1470838643800079</v>
      </c>
      <c r="N201" s="16">
        <f t="shared" si="19"/>
        <v>-2.2973797348865972</v>
      </c>
      <c r="O201" s="16">
        <f t="shared" si="19"/>
        <v>-2.4581963163286673</v>
      </c>
    </row>
    <row r="202" spans="2:17"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7" ht="12.95" customHeight="1" x14ac:dyDescent="0.2">
      <c r="B203" s="1" t="str">
        <f>+"Increase / (Decrease) in "&amp;B151</f>
        <v>Increase / (Decrease) in Accounts Payable</v>
      </c>
      <c r="H203" s="38"/>
      <c r="I203" s="38"/>
      <c r="J203" s="38"/>
      <c r="K203" s="16">
        <f t="shared" ref="K203:O205" si="20">+K151-J151</f>
        <v>5.1904433589041119</v>
      </c>
      <c r="L203" s="16">
        <f t="shared" si="20"/>
        <v>3.396423326794519</v>
      </c>
      <c r="M203" s="16">
        <f t="shared" si="20"/>
        <v>3.62059814071727</v>
      </c>
      <c r="N203" s="16">
        <f t="shared" si="20"/>
        <v>3.8595149542878886</v>
      </c>
      <c r="O203" s="16">
        <f t="shared" si="20"/>
        <v>4.1141391908688973</v>
      </c>
    </row>
    <row r="204" spans="2:17" ht="12.95" customHeight="1" x14ac:dyDescent="0.2">
      <c r="B204" s="1" t="str">
        <f>+"Increase / (Decrease) in "&amp;B152</f>
        <v>Increase / (Decrease) in Accrued Liabilities</v>
      </c>
      <c r="H204" s="38"/>
      <c r="I204" s="38"/>
      <c r="J204" s="38"/>
      <c r="K204" s="16">
        <f t="shared" si="20"/>
        <v>5.0838265539000034</v>
      </c>
      <c r="L204" s="16">
        <f t="shared" si="20"/>
        <v>3.5497115477460071</v>
      </c>
      <c r="M204" s="16">
        <f t="shared" si="20"/>
        <v>3.7814275859163331</v>
      </c>
      <c r="N204" s="16">
        <f t="shared" si="20"/>
        <v>4.0281902828465519</v>
      </c>
      <c r="O204" s="16">
        <f t="shared" si="20"/>
        <v>4.2909707621760305</v>
      </c>
    </row>
    <row r="205" spans="2:17" ht="12.95" customHeight="1" x14ac:dyDescent="0.2">
      <c r="B205" s="1" t="str">
        <f>+"Increase / (Decrease) in "&amp;B153</f>
        <v>Increase / (Decrease) in Deferred Revenue</v>
      </c>
      <c r="H205" s="38"/>
      <c r="I205" s="38"/>
      <c r="J205" s="38"/>
      <c r="K205" s="16">
        <f t="shared" si="20"/>
        <v>11.334509999999995</v>
      </c>
      <c r="L205" s="16">
        <f t="shared" si="20"/>
        <v>3.8588854500000025</v>
      </c>
      <c r="M205" s="16">
        <f t="shared" si="20"/>
        <v>4.129007431500014</v>
      </c>
      <c r="N205" s="16">
        <f t="shared" si="20"/>
        <v>4.4180379517050028</v>
      </c>
      <c r="O205" s="16">
        <f t="shared" si="20"/>
        <v>4.7273006083243558</v>
      </c>
    </row>
    <row r="206" spans="2:17"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7"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7" s="4" customFormat="1" ht="12.95" customHeight="1" x14ac:dyDescent="0.2"/>
    <row r="209" spans="1:15" s="4" customFormat="1" ht="12.95" customHeight="1" x14ac:dyDescent="0.2">
      <c r="B209" s="207" t="s">
        <v>69</v>
      </c>
      <c r="C209" s="208"/>
      <c r="D209" s="208"/>
      <c r="E209" s="208"/>
      <c r="F209" s="208"/>
      <c r="G209" s="208"/>
      <c r="H209" s="209"/>
      <c r="I209" s="209"/>
      <c r="J209" s="209"/>
      <c r="K209" s="22">
        <f>+SUM(K193:K196,K207)</f>
        <v>175.29341420596378</v>
      </c>
      <c r="L209" s="22">
        <f>+SUM(L193:L196,L207)</f>
        <v>182.47861395751107</v>
      </c>
      <c r="M209" s="22">
        <f>+SUM(M193:M196,M207)</f>
        <v>199.52617387516088</v>
      </c>
      <c r="N209" s="22">
        <f>+SUM(N193:N196,N207)</f>
        <v>218.08333412714893</v>
      </c>
      <c r="O209" s="23">
        <f>+SUM(O193:O196,O207)</f>
        <v>238.27790571668606</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+L228</f>
        <v>-7.787466799999998</v>
      </c>
      <c r="M216" s="16">
        <f>+M228</f>
        <v>-7.787466799999998</v>
      </c>
      <c r="N216" s="16">
        <f>+N228</f>
        <v>0</v>
      </c>
      <c r="O216" s="16">
        <f>+O228</f>
        <v>0</v>
      </c>
    </row>
    <row r="217" spans="1:15" ht="12.95" customHeight="1" x14ac:dyDescent="0.2">
      <c r="B217" s="3" t="s">
        <v>83</v>
      </c>
      <c r="C217" s="3"/>
      <c r="D217" s="3"/>
      <c r="E217" s="3"/>
      <c r="F217" s="3"/>
      <c r="G217" s="3"/>
      <c r="H217" s="27"/>
      <c r="I217" s="27"/>
      <c r="J217" s="27"/>
      <c r="K217" s="66">
        <f>+K245</f>
        <v>-116.75059135596376</v>
      </c>
      <c r="L217" s="66">
        <f>+L245</f>
        <v>-125.14305797951107</v>
      </c>
      <c r="M217" s="66">
        <f>+M245</f>
        <v>-138.09110337588587</v>
      </c>
      <c r="N217" s="66">
        <f>+N245</f>
        <v>-160.00506951059262</v>
      </c>
      <c r="O217" s="66">
        <f>+O245</f>
        <v>-20.707787378046476</v>
      </c>
    </row>
    <row r="218" spans="1:15" s="76" customFormat="1" ht="12.95" customHeight="1" x14ac:dyDescent="0.2">
      <c r="B218" s="69" t="s">
        <v>84</v>
      </c>
      <c r="C218" s="69"/>
      <c r="D218" s="69"/>
      <c r="E218" s="69"/>
      <c r="F218" s="69"/>
      <c r="G218" s="69"/>
      <c r="H218" s="210"/>
      <c r="I218" s="210"/>
      <c r="J218" s="210"/>
      <c r="K218" s="71">
        <f>+SUM(K216:K217)</f>
        <v>-124.53805815596377</v>
      </c>
      <c r="L218" s="71">
        <f>+SUM(L216:L217)</f>
        <v>-132.93052477951107</v>
      </c>
      <c r="M218" s="71">
        <f>+SUM(M216:M217)</f>
        <v>-145.87857017588587</v>
      </c>
      <c r="N218" s="71">
        <f>+SUM(N216:N217)</f>
        <v>-160.00506951059262</v>
      </c>
      <c r="O218" s="71">
        <f>+SUM(O216:O217)</f>
        <v>-20.707787378046476</v>
      </c>
    </row>
    <row r="220" spans="1:15" ht="12.95" customHeight="1" x14ac:dyDescent="0.2">
      <c r="B220" s="207" t="s">
        <v>87</v>
      </c>
      <c r="C220" s="208"/>
      <c r="D220" s="208"/>
      <c r="E220" s="208"/>
      <c r="F220" s="208"/>
      <c r="G220" s="208"/>
      <c r="H220" s="209"/>
      <c r="I220" s="209"/>
      <c r="J220" s="209"/>
      <c r="K220" s="22">
        <f>+K209+K213+K218</f>
        <v>5</v>
      </c>
      <c r="L220" s="22">
        <f>+L209+L213+L218</f>
        <v>0</v>
      </c>
      <c r="M220" s="22">
        <f>+M209+M213+M218</f>
        <v>0</v>
      </c>
      <c r="N220" s="22">
        <f>+N209+N213+N218</f>
        <v>0</v>
      </c>
      <c r="O220" s="23">
        <f>+O209+O213+O218</f>
        <v>154.70377353450903</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+L268</f>
        <v>-7.787466799999998</v>
      </c>
      <c r="M227" s="211">
        <f>+M268</f>
        <v>-7.787466799999998</v>
      </c>
      <c r="N227" s="211">
        <f>+N268</f>
        <v>0</v>
      </c>
      <c r="O227" s="211">
        <f>+O268</f>
        <v>0</v>
      </c>
    </row>
    <row r="228" spans="2:15" s="76" customFormat="1" ht="12.95" customHeight="1" x14ac:dyDescent="0.2">
      <c r="B228" s="69" t="s">
        <v>74</v>
      </c>
      <c r="C228" s="69"/>
      <c r="D228" s="69"/>
      <c r="E228" s="69"/>
      <c r="F228" s="69"/>
      <c r="G228" s="69"/>
      <c r="H228" s="212"/>
      <c r="I228" s="212"/>
      <c r="J228" s="212"/>
      <c r="K228" s="71">
        <f>+SUM(K227)</f>
        <v>-7.787466799999998</v>
      </c>
      <c r="L228" s="71">
        <f>+SUM(L227)</f>
        <v>-7.787466799999998</v>
      </c>
      <c r="M228" s="71">
        <f>+SUM(M227)</f>
        <v>-7.787466799999998</v>
      </c>
      <c r="N228" s="71">
        <f>+SUM(N227)</f>
        <v>0</v>
      </c>
      <c r="O228" s="71">
        <f>+SUM(O227)</f>
        <v>0</v>
      </c>
    </row>
    <row r="230" spans="2:15" ht="12.95" customHeight="1" x14ac:dyDescent="0.2">
      <c r="B230" s="24" t="s">
        <v>196</v>
      </c>
    </row>
    <row r="231" spans="2:15" ht="12.95" customHeight="1" x14ac:dyDescent="0.2">
      <c r="B231" s="1" t="s">
        <v>122</v>
      </c>
      <c r="K231" s="16">
        <f>+K209+K213</f>
        <v>129.53805815596377</v>
      </c>
      <c r="L231" s="16">
        <f>+L209+L213</f>
        <v>132.93052477951107</v>
      </c>
      <c r="M231" s="16">
        <f>+M209+M213</f>
        <v>145.87857017588587</v>
      </c>
      <c r="N231" s="16">
        <f>+N209+N213</f>
        <v>160.00506951059262</v>
      </c>
      <c r="O231" s="16">
        <f>+O209+O213</f>
        <v>175.4115609125555</v>
      </c>
    </row>
    <row r="232" spans="2:15" ht="12.95" customHeight="1" x14ac:dyDescent="0.2">
      <c r="B232" s="1" t="s">
        <v>123</v>
      </c>
      <c r="K232" s="16">
        <f>+K228</f>
        <v>-7.787466799999998</v>
      </c>
      <c r="L232" s="16">
        <f>+L228</f>
        <v>-7.787466799999998</v>
      </c>
      <c r="M232" s="16">
        <f>+M228</f>
        <v>-7.787466799999998</v>
      </c>
      <c r="N232" s="16">
        <f>+N228</f>
        <v>0</v>
      </c>
      <c r="O232" s="16">
        <f>+O228</f>
        <v>0</v>
      </c>
    </row>
    <row r="233" spans="2:15" s="76" customFormat="1" ht="12.95" customHeight="1" x14ac:dyDescent="0.2">
      <c r="B233" s="20" t="s">
        <v>75</v>
      </c>
      <c r="C233" s="21"/>
      <c r="D233" s="21"/>
      <c r="E233" s="21"/>
      <c r="F233" s="21"/>
      <c r="G233" s="21"/>
      <c r="H233" s="21"/>
      <c r="I233" s="21"/>
      <c r="J233" s="21"/>
      <c r="K233" s="22">
        <f>SUM(K231:K232)</f>
        <v>121.75059135596376</v>
      </c>
      <c r="L233" s="22">
        <f>SUM(L231:L232)</f>
        <v>125.14305797951107</v>
      </c>
      <c r="M233" s="22">
        <f>SUM(M231:M232)</f>
        <v>138.09110337588587</v>
      </c>
      <c r="N233" s="22">
        <f>SUM(N231:N232)</f>
        <v>160.00506951059262</v>
      </c>
      <c r="O233" s="23">
        <f>SUM(O231:O232)</f>
        <v>175.4115609125555</v>
      </c>
    </row>
    <row r="235" spans="2:15" ht="12.95" customHeight="1" x14ac:dyDescent="0.2">
      <c r="B235" s="1" t="s">
        <v>76</v>
      </c>
      <c r="H235" s="38"/>
      <c r="I235" s="38"/>
      <c r="J235" s="38"/>
      <c r="K235" s="16">
        <f>+J139</f>
        <v>0</v>
      </c>
      <c r="L235" s="16">
        <f>+K139</f>
        <v>5</v>
      </c>
      <c r="M235" s="16">
        <f>+L139</f>
        <v>5</v>
      </c>
      <c r="N235" s="16">
        <f>+M139</f>
        <v>5</v>
      </c>
      <c r="O235" s="16">
        <f>+N139</f>
        <v>5</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+K233</f>
        <v>121.75059135596376</v>
      </c>
      <c r="L237" s="35">
        <f>+L233</f>
        <v>125.14305797951107</v>
      </c>
      <c r="M237" s="35">
        <f>+M233</f>
        <v>138.09110337588587</v>
      </c>
      <c r="N237" s="35">
        <f>+N233</f>
        <v>160.00506951059262</v>
      </c>
      <c r="O237" s="35">
        <f>+O233</f>
        <v>175.4115609125555</v>
      </c>
    </row>
    <row r="238" spans="2:15" s="76" customFormat="1" ht="12.95" customHeight="1" x14ac:dyDescent="0.2">
      <c r="B238" s="20" t="s">
        <v>86</v>
      </c>
      <c r="C238" s="21"/>
      <c r="D238" s="21"/>
      <c r="E238" s="21"/>
      <c r="F238" s="21"/>
      <c r="G238" s="21"/>
      <c r="H238" s="172"/>
      <c r="I238" s="172"/>
      <c r="J238" s="172"/>
      <c r="K238" s="22">
        <f>SUM(K235:K237)</f>
        <v>116.75059135596376</v>
      </c>
      <c r="L238" s="22">
        <f>SUM(L235:L237)</f>
        <v>125.14305797951107</v>
      </c>
      <c r="M238" s="22">
        <f>SUM(M235:M237)</f>
        <v>138.09110337588587</v>
      </c>
      <c r="N238" s="22">
        <f>SUM(N235:N237)</f>
        <v>160.00506951059262</v>
      </c>
      <c r="O238" s="23">
        <f>SUM(O235:O237)</f>
        <v>175.4115609125555</v>
      </c>
    </row>
    <row r="240" spans="2:15" s="76" customFormat="1" ht="12.95" customHeight="1" x14ac:dyDescent="0.2">
      <c r="B240" s="24" t="s">
        <v>79</v>
      </c>
    </row>
    <row r="241" spans="1:15" ht="12.95" customHeight="1" x14ac:dyDescent="0.2">
      <c r="B241" s="1" t="str">
        <f>+B159</f>
        <v>Revolving Credit Facility</v>
      </c>
      <c r="K241" s="16">
        <f>+K255</f>
        <v>0</v>
      </c>
      <c r="L241" s="16">
        <f>+L255</f>
        <v>0</v>
      </c>
      <c r="M241" s="16">
        <f>+M255</f>
        <v>0</v>
      </c>
      <c r="N241" s="16">
        <f>+N255</f>
        <v>0</v>
      </c>
      <c r="O241" s="16">
        <f>+O255</f>
        <v>0</v>
      </c>
    </row>
    <row r="242" spans="1:15" ht="12.95" customHeight="1" x14ac:dyDescent="0.2">
      <c r="B242" s="1" t="str">
        <f>+B160</f>
        <v>First Lien Term Loan</v>
      </c>
      <c r="K242" s="16">
        <f>+K269</f>
        <v>-116.75059135596376</v>
      </c>
      <c r="L242" s="16">
        <f>+L269</f>
        <v>-125.14305797951107</v>
      </c>
      <c r="M242" s="16">
        <f>+M269</f>
        <v>-124.11729026452502</v>
      </c>
      <c r="N242" s="16">
        <f>+N269</f>
        <v>0</v>
      </c>
      <c r="O242" s="16">
        <f>+O269</f>
        <v>0</v>
      </c>
    </row>
    <row r="243" spans="1:15" ht="12.95" customHeight="1" x14ac:dyDescent="0.2">
      <c r="B243" s="1" t="str">
        <f>+B161</f>
        <v>Second Lien Term Loan</v>
      </c>
      <c r="K243" s="16">
        <f>+K280</f>
        <v>0</v>
      </c>
      <c r="L243" s="16">
        <f>+L280</f>
        <v>0</v>
      </c>
      <c r="M243" s="16">
        <f>+M280</f>
        <v>-13.97381311136084</v>
      </c>
      <c r="N243" s="16">
        <f>+N280</f>
        <v>-160.00506951059262</v>
      </c>
      <c r="O243" s="16">
        <f>+O280</f>
        <v>-20.707787378046476</v>
      </c>
    </row>
    <row r="244" spans="1:15" ht="12.95" customHeight="1" x14ac:dyDescent="0.2">
      <c r="B244" s="3" t="str">
        <f>+B162</f>
        <v>Notes</v>
      </c>
      <c r="C244" s="3"/>
      <c r="D244" s="3"/>
      <c r="E244" s="3"/>
      <c r="F244" s="3"/>
      <c r="G244" s="3"/>
      <c r="H244" s="3"/>
      <c r="I244" s="3"/>
      <c r="J244" s="3"/>
      <c r="K244" s="66">
        <f>+K290</f>
        <v>0</v>
      </c>
      <c r="L244" s="66">
        <f>+L290</f>
        <v>0</v>
      </c>
      <c r="M244" s="66">
        <f>+M290</f>
        <v>0</v>
      </c>
      <c r="N244" s="66">
        <f>+N290</f>
        <v>0</v>
      </c>
      <c r="O244" s="66">
        <f>+O290</f>
        <v>0</v>
      </c>
    </row>
    <row r="245" spans="1:15" s="76" customFormat="1" ht="12.95" customHeight="1" x14ac:dyDescent="0.2">
      <c r="B245" s="69" t="s">
        <v>80</v>
      </c>
      <c r="C245" s="69"/>
      <c r="D245" s="69"/>
      <c r="E245" s="69"/>
      <c r="F245" s="69"/>
      <c r="G245" s="69"/>
      <c r="H245" s="69"/>
      <c r="I245" s="69"/>
      <c r="J245" s="69"/>
      <c r="K245" s="71">
        <f>SUM(K241:K244)</f>
        <v>-116.75059135596376</v>
      </c>
      <c r="L245" s="71">
        <f>SUM(L241:L244)</f>
        <v>-125.14305797951107</v>
      </c>
      <c r="M245" s="71">
        <f>SUM(M241:M244)</f>
        <v>-138.09110337588587</v>
      </c>
      <c r="N245" s="71">
        <f>SUM(N241:N244)</f>
        <v>-160.00506951059262</v>
      </c>
      <c r="O245" s="71">
        <f>SUM(O241:O244)</f>
        <v>-20.707787378046476</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206"/>
      <c r="M249" s="206"/>
      <c r="N249" s="206"/>
      <c r="O249" s="206"/>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13">
        <v>0.02</v>
      </c>
      <c r="L251" s="214">
        <f>+K251</f>
        <v>0.02</v>
      </c>
      <c r="M251" s="214">
        <f>+L251</f>
        <v>0.02</v>
      </c>
      <c r="N251" s="214">
        <f>+M251</f>
        <v>0.02</v>
      </c>
      <c r="O251" s="214">
        <f>+N251</f>
        <v>0.02</v>
      </c>
    </row>
    <row r="252" spans="1:15" s="4" customFormat="1" ht="12.95" customHeight="1" x14ac:dyDescent="0.2">
      <c r="K252" s="118"/>
      <c r="L252" s="118"/>
      <c r="M252" s="118"/>
      <c r="N252" s="118"/>
      <c r="O252" s="118"/>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15">
        <f>+J159</f>
        <v>0</v>
      </c>
      <c r="L254" s="54">
        <f>+K256</f>
        <v>0</v>
      </c>
      <c r="M254" s="54">
        <f>+L256</f>
        <v>0</v>
      </c>
      <c r="N254" s="54">
        <f>+M256</f>
        <v>0</v>
      </c>
      <c r="O254" s="54">
        <f>+N256</f>
        <v>0</v>
      </c>
    </row>
    <row r="255" spans="1:15" ht="12.95" customHeight="1" x14ac:dyDescent="0.2">
      <c r="B255" s="3" t="s">
        <v>94</v>
      </c>
      <c r="C255" s="3"/>
      <c r="D255" s="3"/>
      <c r="E255" s="3"/>
      <c r="F255" s="3"/>
      <c r="G255" s="3"/>
      <c r="H255" s="3"/>
      <c r="I255" s="3"/>
      <c r="J255" s="3"/>
      <c r="K255" s="66">
        <f>-MIN(K238,K254)</f>
        <v>0</v>
      </c>
      <c r="L255" s="66">
        <f>-MIN(L238,L254)</f>
        <v>0</v>
      </c>
      <c r="M255" s="66">
        <f>-MIN(M238,M254)</f>
        <v>0</v>
      </c>
      <c r="N255" s="66">
        <f>-MIN(N238,N254)</f>
        <v>0</v>
      </c>
      <c r="O255" s="66">
        <f>-MIN(O238,O254)</f>
        <v>0</v>
      </c>
    </row>
    <row r="256" spans="1:15" ht="12.95" customHeight="1" x14ac:dyDescent="0.2">
      <c r="B256" s="69" t="s">
        <v>192</v>
      </c>
      <c r="C256" s="69"/>
      <c r="D256" s="69"/>
      <c r="E256" s="69"/>
      <c r="F256" s="69"/>
      <c r="G256" s="69"/>
      <c r="H256" s="69"/>
      <c r="I256" s="69"/>
      <c r="J256" s="69"/>
      <c r="K256" s="71">
        <f>SUM(K254:K255)</f>
        <v>0</v>
      </c>
      <c r="L256" s="71">
        <f>SUM(L254:L255)</f>
        <v>0</v>
      </c>
      <c r="M256" s="71">
        <f>SUM(M254:M255)</f>
        <v>0</v>
      </c>
      <c r="N256" s="71">
        <f>SUM(N254:N255)</f>
        <v>0</v>
      </c>
      <c r="O256" s="71">
        <f>SUM(O254:O255)</f>
        <v>0</v>
      </c>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f>+M26</f>
        <v>100</v>
      </c>
      <c r="K258" s="35">
        <f>+AVERAGE(K254,K256)</f>
        <v>0</v>
      </c>
      <c r="L258" s="35">
        <f>+AVERAGE(L254,L256)</f>
        <v>0</v>
      </c>
      <c r="M258" s="35">
        <f>+AVERAGE(M254,M256)</f>
        <v>0</v>
      </c>
      <c r="N258" s="35">
        <f>+AVERAGE(N254,N256)</f>
        <v>0</v>
      </c>
      <c r="O258" s="35">
        <f>+AVERAGE(O254,O256)</f>
        <v>0</v>
      </c>
    </row>
    <row r="259" spans="2:17"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7" s="4" customFormat="1" ht="12.95" customHeight="1" x14ac:dyDescent="0.2">
      <c r="B260" s="4" t="s">
        <v>21</v>
      </c>
      <c r="K260" s="54"/>
      <c r="L260" s="54"/>
      <c r="M260" s="54"/>
      <c r="N260" s="54"/>
      <c r="O260" s="54"/>
      <c r="Q260" s="267" t="s">
        <v>271</v>
      </c>
    </row>
    <row r="261" spans="2:17" s="4" customFormat="1" ht="12.95" customHeight="1" x14ac:dyDescent="0.2">
      <c r="B261" s="4" t="s">
        <v>158</v>
      </c>
      <c r="G261" s="4" t="s">
        <v>147</v>
      </c>
      <c r="I261" s="218">
        <v>25</v>
      </c>
      <c r="K261" s="15"/>
      <c r="L261" s="15"/>
      <c r="M261" s="15"/>
      <c r="N261" s="15"/>
      <c r="O261" s="15"/>
      <c r="Q261" s="267" t="s">
        <v>272</v>
      </c>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f>+IF(K256&gt;$I$258,1,0)</f>
        <v>0</v>
      </c>
      <c r="L264" s="14">
        <f>+IF(L256&gt;$I$258,1,0)</f>
        <v>0</v>
      </c>
      <c r="M264" s="14">
        <f>+IF(M256&gt;$I$258,1,0)</f>
        <v>0</v>
      </c>
      <c r="N264" s="14">
        <f>+IF(N256&gt;$I$258,1,0)</f>
        <v>0</v>
      </c>
      <c r="O264" s="14">
        <f>+IF(O256&gt;$I$258,1,0)</f>
        <v>0</v>
      </c>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f>+J160</f>
        <v>389.37333999999987</v>
      </c>
      <c r="L267" s="54">
        <f>+K270</f>
        <v>264.8352818440361</v>
      </c>
      <c r="M267" s="54">
        <f>+L270</f>
        <v>131.90475706452503</v>
      </c>
      <c r="N267" s="54">
        <f>+M270</f>
        <v>0</v>
      </c>
      <c r="O267" s="54">
        <f>+N270</f>
        <v>0</v>
      </c>
    </row>
    <row r="268" spans="2:17" s="4" customFormat="1" ht="12.95" customHeight="1" x14ac:dyDescent="0.2">
      <c r="B268" s="33" t="s">
        <v>92</v>
      </c>
      <c r="G268" s="4" t="s">
        <v>97</v>
      </c>
      <c r="I268" s="219">
        <v>0.02</v>
      </c>
      <c r="K268" s="35">
        <f>-MIN($K$267*$I$268,K267)</f>
        <v>-7.787466799999998</v>
      </c>
      <c r="L268" s="35">
        <f>-MIN($K$267*$I$268,L267)</f>
        <v>-7.787466799999998</v>
      </c>
      <c r="M268" s="35">
        <f>-MIN($K$267*$I$268,M267)</f>
        <v>-7.787466799999998</v>
      </c>
      <c r="N268" s="35">
        <f>-MIN($K$267*$I$268,N267)</f>
        <v>0</v>
      </c>
      <c r="O268" s="35">
        <f>-MIN($K$267*$I$268,O267)</f>
        <v>0</v>
      </c>
    </row>
    <row r="269" spans="2:17" ht="12.95" customHeight="1" x14ac:dyDescent="0.2">
      <c r="B269" s="3" t="s">
        <v>89</v>
      </c>
      <c r="C269" s="3"/>
      <c r="D269" s="3"/>
      <c r="E269" s="3"/>
      <c r="F269" s="3"/>
      <c r="G269" s="3"/>
      <c r="H269" s="3"/>
      <c r="I269" s="3"/>
      <c r="J269" s="3"/>
      <c r="K269" s="66">
        <f>-MIN(SUM(K267:K268),SUM(K238:K241))</f>
        <v>-116.75059135596376</v>
      </c>
      <c r="L269" s="66">
        <f>-MIN(SUM(L267:L268),SUM(L238:L241))</f>
        <v>-125.14305797951107</v>
      </c>
      <c r="M269" s="66">
        <f>-MIN(SUM(M267:M268),SUM(M238:M241))</f>
        <v>-124.11729026452502</v>
      </c>
      <c r="N269" s="66">
        <f>-MIN(SUM(N267:N268),SUM(N238:N241))</f>
        <v>0</v>
      </c>
      <c r="O269" s="66">
        <f>-MIN(SUM(O267:O268),SUM(O238:O241))</f>
        <v>0</v>
      </c>
    </row>
    <row r="270" spans="2:17" ht="12.95" customHeight="1" x14ac:dyDescent="0.2">
      <c r="B270" s="69" t="s">
        <v>192</v>
      </c>
      <c r="C270" s="69"/>
      <c r="D270" s="69"/>
      <c r="E270" s="69"/>
      <c r="F270" s="69"/>
      <c r="G270" s="69"/>
      <c r="H270" s="4"/>
      <c r="I270" s="69"/>
      <c r="J270" s="69"/>
      <c r="K270" s="71">
        <f>SUM(K267:K269)</f>
        <v>264.8352818440361</v>
      </c>
      <c r="L270" s="71">
        <f>SUM(L267:L269)</f>
        <v>131.90475706452503</v>
      </c>
      <c r="M270" s="71">
        <f>SUM(M267:M269)</f>
        <v>0</v>
      </c>
      <c r="N270" s="71">
        <f>SUM(N267:N269)</f>
        <v>0</v>
      </c>
      <c r="O270" s="71">
        <f>SUM(O267:O269)</f>
        <v>0</v>
      </c>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f>+AVERAGE(K267,K270)</f>
        <v>327.10431092201799</v>
      </c>
      <c r="L272" s="16">
        <f>+AVERAGE(L267,L270)</f>
        <v>198.37001945428057</v>
      </c>
      <c r="M272" s="16">
        <f>+AVERAGE(M267,M270)</f>
        <v>65.952378532262514</v>
      </c>
      <c r="N272" s="16">
        <f>+AVERAGE(N267,N270)</f>
        <v>0</v>
      </c>
      <c r="O272" s="16">
        <f>+AVERAGE(O267,O270)</f>
        <v>0</v>
      </c>
    </row>
    <row r="273" spans="2:17"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7" s="4" customFormat="1" ht="12.95" customHeight="1" x14ac:dyDescent="0.2">
      <c r="B274" s="4" t="s">
        <v>21</v>
      </c>
      <c r="K274" s="54"/>
      <c r="L274" s="54"/>
      <c r="M274" s="54"/>
      <c r="N274" s="54"/>
      <c r="O274" s="54"/>
      <c r="Q274" s="267" t="s">
        <v>273</v>
      </c>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f>+J161</f>
        <v>194.68666999999994</v>
      </c>
      <c r="L278" s="54">
        <f>+K281</f>
        <v>194.68666999999994</v>
      </c>
      <c r="M278" s="54">
        <f t="shared" ref="M278:O278" si="21">+L281</f>
        <v>194.68666999999994</v>
      </c>
      <c r="N278" s="54">
        <f t="shared" si="21"/>
        <v>180.7128568886391</v>
      </c>
      <c r="O278" s="54">
        <f t="shared" si="21"/>
        <v>20.707787378046476</v>
      </c>
    </row>
    <row r="279" spans="2:17" s="4" customFormat="1" ht="12.95" customHeight="1" x14ac:dyDescent="0.2">
      <c r="B279" s="4" t="s">
        <v>109</v>
      </c>
      <c r="K279" s="222"/>
      <c r="L279" s="62"/>
      <c r="M279" s="62"/>
      <c r="N279" s="62"/>
      <c r="O279" s="62"/>
      <c r="Q279" s="267" t="s">
        <v>331</v>
      </c>
    </row>
    <row r="280" spans="2:17" s="4" customFormat="1" ht="12.95" customHeight="1" x14ac:dyDescent="0.2">
      <c r="B280" s="3" t="s">
        <v>89</v>
      </c>
      <c r="C280" s="3"/>
      <c r="D280" s="3"/>
      <c r="E280" s="3"/>
      <c r="F280" s="3"/>
      <c r="G280" s="3"/>
      <c r="H280" s="3"/>
      <c r="I280" s="3"/>
      <c r="J280" s="3"/>
      <c r="K280" s="66">
        <f>-MIN(SUM(K278:K279),SUM(K238:K242))</f>
        <v>0</v>
      </c>
      <c r="L280" s="66">
        <f>-MIN(SUM(L278:L279),SUM(L238:L242))</f>
        <v>0</v>
      </c>
      <c r="M280" s="66">
        <f>-MIN(SUM(M278:M279),SUM(M238:M242))</f>
        <v>-13.97381311136084</v>
      </c>
      <c r="N280" s="66">
        <f>-MIN(SUM(N278:N279),SUM(N238:N242))</f>
        <v>-160.00506951059262</v>
      </c>
      <c r="O280" s="66">
        <f>-MIN(SUM(O278:O279),SUM(O238:O242))</f>
        <v>-20.707787378046476</v>
      </c>
    </row>
    <row r="281" spans="2:17" s="4" customFormat="1" ht="12.95" customHeight="1" x14ac:dyDescent="0.2">
      <c r="B281" s="69" t="s">
        <v>192</v>
      </c>
      <c r="C281" s="69"/>
      <c r="D281" s="69"/>
      <c r="E281" s="69"/>
      <c r="F281" s="69"/>
      <c r="G281" s="69"/>
      <c r="I281" s="69"/>
      <c r="J281" s="69"/>
      <c r="K281" s="71">
        <f>SUM(K278:K280)</f>
        <v>194.68666999999994</v>
      </c>
      <c r="L281" s="71">
        <f>SUM(L278:L280)</f>
        <v>194.68666999999994</v>
      </c>
      <c r="M281" s="71">
        <f>SUM(M278:M280)</f>
        <v>180.7128568886391</v>
      </c>
      <c r="N281" s="71">
        <f>SUM(N278:N280)</f>
        <v>20.707787378046476</v>
      </c>
      <c r="O281" s="71">
        <f>SUM(O278:O280)</f>
        <v>0</v>
      </c>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f>+AVERAGE(K278,K281)</f>
        <v>194.68666999999994</v>
      </c>
      <c r="L283" s="16">
        <f>+AVERAGE(L278,L281)</f>
        <v>194.68666999999994</v>
      </c>
      <c r="M283" s="16">
        <f>+AVERAGE(M278,M281)</f>
        <v>187.6997634443195</v>
      </c>
      <c r="N283" s="16">
        <f>+AVERAGE(N278,N281)</f>
        <v>100.71032213334279</v>
      </c>
      <c r="O283" s="16">
        <f>+AVERAGE(O278,O281)</f>
        <v>10.353893689023238</v>
      </c>
    </row>
    <row r="284" spans="2:17"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7" s="4" customFormat="1" ht="12.95" customHeight="1" x14ac:dyDescent="0.2">
      <c r="B285" s="4" t="s">
        <v>21</v>
      </c>
      <c r="K285" s="54"/>
      <c r="L285" s="54"/>
      <c r="M285" s="54"/>
      <c r="N285" s="54"/>
      <c r="O285" s="54"/>
      <c r="Q285" s="267" t="s">
        <v>330</v>
      </c>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f>+J162</f>
        <v>486.71667499999984</v>
      </c>
      <c r="L289" s="54">
        <f>+K291</f>
        <v>486.71667499999984</v>
      </c>
      <c r="M289" s="54">
        <f>+L291</f>
        <v>486.71667499999984</v>
      </c>
      <c r="N289" s="54">
        <f>+M291</f>
        <v>486.71667499999984</v>
      </c>
      <c r="O289" s="54">
        <f>+N291</f>
        <v>486.71667499999984</v>
      </c>
    </row>
    <row r="290" spans="1:17" ht="12.95" customHeight="1" x14ac:dyDescent="0.2">
      <c r="B290" s="3" t="s">
        <v>98</v>
      </c>
      <c r="C290" s="3"/>
      <c r="D290" s="3"/>
      <c r="E290" s="3"/>
      <c r="F290" s="3"/>
      <c r="G290" s="3" t="s">
        <v>99</v>
      </c>
      <c r="H290" s="133"/>
      <c r="I290" s="224">
        <v>2026</v>
      </c>
      <c r="J290" s="3"/>
      <c r="K290" s="66">
        <f>-MIN(K289,SUM(K238:K243))*IF($I$290=K$250,1,0)</f>
        <v>0</v>
      </c>
      <c r="L290" s="66">
        <f t="shared" ref="L290:O290" si="22">-MIN(L289,SUM(L238:L243))*IF($I$290=L$250,1,0)</f>
        <v>0</v>
      </c>
      <c r="M290" s="66">
        <f t="shared" si="22"/>
        <v>0</v>
      </c>
      <c r="N290" s="66">
        <f t="shared" si="22"/>
        <v>0</v>
      </c>
      <c r="O290" s="66">
        <f t="shared" si="22"/>
        <v>0</v>
      </c>
    </row>
    <row r="291" spans="1:17" ht="12.95" customHeight="1" x14ac:dyDescent="0.2">
      <c r="B291" s="69" t="s">
        <v>192</v>
      </c>
      <c r="C291" s="69"/>
      <c r="D291" s="69"/>
      <c r="E291" s="69"/>
      <c r="F291" s="69"/>
      <c r="G291" s="69"/>
      <c r="H291" s="4"/>
      <c r="I291" s="69"/>
      <c r="J291" s="69"/>
      <c r="K291" s="71">
        <f>SUM(K289:K290)</f>
        <v>486.71667499999984</v>
      </c>
      <c r="L291" s="71">
        <f>SUM(L289:L290)</f>
        <v>486.71667499999984</v>
      </c>
      <c r="M291" s="71">
        <f>SUM(M289:M290)</f>
        <v>486.71667499999984</v>
      </c>
      <c r="N291" s="71">
        <f>SUM(N289:N290)</f>
        <v>486.71667499999984</v>
      </c>
      <c r="O291" s="71">
        <f>SUM(O289:O290)</f>
        <v>486.71667499999984</v>
      </c>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f>+AVERAGE(K289,K291)</f>
        <v>486.71667499999984</v>
      </c>
      <c r="L293" s="16">
        <f>+AVERAGE(L289,L291)</f>
        <v>486.71667499999984</v>
      </c>
      <c r="M293" s="16">
        <f>+AVERAGE(M289,M291)</f>
        <v>486.71667499999984</v>
      </c>
      <c r="N293" s="16">
        <f>+AVERAGE(N289,N291)</f>
        <v>486.71667499999984</v>
      </c>
      <c r="O293" s="16">
        <f>+AVERAGE(O289,O291)</f>
        <v>486.71667499999984</v>
      </c>
    </row>
    <row r="294" spans="1:17" s="4" customFormat="1" ht="12.95" customHeight="1" x14ac:dyDescent="0.2">
      <c r="B294" s="4" t="s">
        <v>21</v>
      </c>
      <c r="G294" s="4" t="s">
        <v>111</v>
      </c>
      <c r="I294" s="225">
        <v>0.1</v>
      </c>
      <c r="K294" s="54"/>
      <c r="L294" s="54"/>
      <c r="M294" s="54"/>
      <c r="N294" s="54"/>
      <c r="O294" s="54"/>
      <c r="Q294" s="267" t="s">
        <v>274</v>
      </c>
    </row>
    <row r="295" spans="1:17" s="4" customFormat="1" ht="12.95" customHeight="1" x14ac:dyDescent="0.2">
      <c r="B295" s="3"/>
      <c r="C295" s="3"/>
      <c r="D295" s="3"/>
      <c r="E295" s="3"/>
      <c r="F295" s="3"/>
      <c r="G295" s="3"/>
      <c r="H295" s="3"/>
      <c r="I295" s="3"/>
      <c r="J295" s="3"/>
      <c r="K295" s="3"/>
      <c r="L295" s="3"/>
      <c r="M295" s="3"/>
      <c r="N295" s="3"/>
      <c r="O295" s="3"/>
      <c r="Q295" s="267"/>
    </row>
    <row r="296" spans="1:17" ht="12.95" customHeight="1" x14ac:dyDescent="0.2">
      <c r="Q296" s="267"/>
    </row>
    <row r="297" spans="1:17" ht="12.95" customHeight="1" x14ac:dyDescent="0.2">
      <c r="A297" s="1" t="s">
        <v>39</v>
      </c>
      <c r="B297" s="50" t="s">
        <v>100</v>
      </c>
      <c r="C297" s="51"/>
      <c r="D297" s="51"/>
      <c r="E297" s="51"/>
      <c r="F297" s="51"/>
      <c r="G297" s="51"/>
      <c r="H297" s="51"/>
      <c r="I297" s="51"/>
      <c r="J297" s="51"/>
      <c r="K297" s="51"/>
      <c r="L297" s="51"/>
      <c r="M297" s="51"/>
      <c r="N297" s="51"/>
      <c r="O297" s="73"/>
      <c r="Q297" s="267"/>
    </row>
    <row r="298" spans="1:17" ht="12.95" customHeight="1" x14ac:dyDescent="0.2">
      <c r="Q298" s="267"/>
    </row>
    <row r="299" spans="1:17" ht="12.95" customHeight="1" x14ac:dyDescent="0.35">
      <c r="K299" s="10" t="str">
        <f>+$K$32</f>
        <v>Fiscal Year Ended 12/31</v>
      </c>
      <c r="L299" s="206"/>
      <c r="M299" s="206"/>
      <c r="N299" s="206"/>
      <c r="O299" s="206"/>
      <c r="Q299" s="267"/>
    </row>
    <row r="300" spans="1:17" ht="12.95" customHeight="1" x14ac:dyDescent="0.2">
      <c r="K300" s="13">
        <f>+$K$103</f>
        <v>2020</v>
      </c>
      <c r="L300" s="13">
        <f>+$L$103</f>
        <v>2021</v>
      </c>
      <c r="M300" s="13">
        <f>+$M$103</f>
        <v>2022</v>
      </c>
      <c r="N300" s="13">
        <f>+$N$103</f>
        <v>2023</v>
      </c>
      <c r="O300" s="13">
        <f>+$O$103</f>
        <v>2024</v>
      </c>
      <c r="Q300" s="267"/>
    </row>
    <row r="301" spans="1:17" s="4" customFormat="1" ht="12.95" customHeight="1" x14ac:dyDescent="0.2">
      <c r="B301" s="4" t="s">
        <v>93</v>
      </c>
      <c r="K301" s="54"/>
      <c r="L301" s="54"/>
      <c r="M301" s="54"/>
      <c r="N301" s="54"/>
      <c r="O301" s="54"/>
      <c r="Q301" s="267" t="s">
        <v>333</v>
      </c>
    </row>
    <row r="302" spans="1:17" s="4" customFormat="1" ht="12.95" customHeight="1" x14ac:dyDescent="0.2">
      <c r="B302" s="3" t="s">
        <v>106</v>
      </c>
      <c r="C302" s="3"/>
      <c r="D302" s="3"/>
      <c r="E302" s="3"/>
      <c r="F302" s="3"/>
      <c r="G302" s="3"/>
      <c r="H302" s="3"/>
      <c r="I302" s="3"/>
      <c r="J302" s="3"/>
      <c r="K302" s="66"/>
      <c r="L302" s="66"/>
      <c r="M302" s="66"/>
      <c r="N302" s="66"/>
      <c r="O302" s="66"/>
      <c r="Q302" s="267" t="s">
        <v>275</v>
      </c>
    </row>
    <row r="303" spans="1:17" s="69" customFormat="1" ht="12.95" customHeight="1" x14ac:dyDescent="0.2">
      <c r="B303" s="69" t="s">
        <v>192</v>
      </c>
      <c r="K303" s="71"/>
      <c r="L303" s="71"/>
      <c r="M303" s="71"/>
      <c r="N303" s="71"/>
      <c r="O303" s="71"/>
      <c r="Q303" s="267" t="s">
        <v>332</v>
      </c>
    </row>
    <row r="304" spans="1:17" s="4" customFormat="1" ht="12.95" customHeight="1" x14ac:dyDescent="0.2">
      <c r="Q304" s="267"/>
    </row>
    <row r="305" spans="1:17" ht="12.95" customHeight="1" x14ac:dyDescent="0.2">
      <c r="B305" s="4" t="s">
        <v>91</v>
      </c>
      <c r="C305" s="4"/>
      <c r="D305" s="4"/>
      <c r="E305" s="4"/>
      <c r="F305" s="4"/>
      <c r="G305" s="4"/>
      <c r="H305" s="4"/>
      <c r="I305" s="4"/>
      <c r="J305" s="4"/>
      <c r="K305" s="35"/>
      <c r="L305" s="35"/>
      <c r="M305" s="35"/>
      <c r="N305" s="35"/>
      <c r="O305" s="35"/>
      <c r="Q305" s="267" t="s">
        <v>276</v>
      </c>
    </row>
    <row r="306" spans="1:17" ht="12.95" customHeight="1" x14ac:dyDescent="0.2">
      <c r="B306" s="1" t="s">
        <v>107</v>
      </c>
      <c r="G306" s="85" t="s">
        <v>193</v>
      </c>
      <c r="H306" s="4"/>
      <c r="I306" s="225">
        <v>0.01</v>
      </c>
      <c r="K306" s="15"/>
      <c r="L306" s="15"/>
      <c r="M306" s="15"/>
      <c r="N306" s="15"/>
      <c r="O306" s="15"/>
      <c r="Q306" s="267" t="s">
        <v>277</v>
      </c>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267" t="s">
        <v>279</v>
      </c>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267" t="s">
        <v>278</v>
      </c>
    </row>
    <row r="316" spans="1:17" ht="12.95" customHeight="1" x14ac:dyDescent="0.2">
      <c r="B316" s="3" t="s">
        <v>113</v>
      </c>
      <c r="C316" s="3"/>
      <c r="D316" s="3"/>
      <c r="E316" s="3"/>
      <c r="F316" s="3"/>
      <c r="G316" s="3"/>
      <c r="H316" s="3"/>
      <c r="I316" s="3"/>
      <c r="J316" s="3"/>
      <c r="K316" s="62"/>
      <c r="L316" s="62"/>
      <c r="M316" s="62"/>
      <c r="N316" s="62"/>
      <c r="O316" s="62"/>
      <c r="Q316" s="267" t="s">
        <v>280</v>
      </c>
    </row>
    <row r="317" spans="1:17" s="76" customFormat="1" ht="12.95" customHeight="1" x14ac:dyDescent="0.2">
      <c r="B317" s="69" t="s">
        <v>108</v>
      </c>
      <c r="C317" s="69"/>
      <c r="D317" s="69"/>
      <c r="E317" s="69"/>
      <c r="F317" s="69"/>
      <c r="G317" s="69"/>
      <c r="H317" s="69"/>
      <c r="I317" s="69"/>
      <c r="J317" s="69"/>
      <c r="K317" s="96"/>
      <c r="L317" s="96"/>
      <c r="M317" s="96"/>
      <c r="N317" s="96"/>
      <c r="O317" s="96"/>
      <c r="Q317" s="267" t="s">
        <v>281</v>
      </c>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9" ht="12.95" customHeight="1" x14ac:dyDescent="0.35">
      <c r="K321" s="10" t="str">
        <f>+$K$32</f>
        <v>Fiscal Year Ended 12/31</v>
      </c>
      <c r="L321" s="11"/>
      <c r="M321" s="11"/>
      <c r="N321" s="11"/>
      <c r="O321" s="11"/>
    </row>
    <row r="322" spans="2:19" ht="12.95" customHeight="1" x14ac:dyDescent="0.2">
      <c r="K322" s="13">
        <f>+K138</f>
        <v>2020</v>
      </c>
      <c r="L322" s="13">
        <f>+K322+1</f>
        <v>2021</v>
      </c>
      <c r="M322" s="13">
        <f>+L322+1</f>
        <v>2022</v>
      </c>
      <c r="N322" s="13">
        <f>+M322+1</f>
        <v>2023</v>
      </c>
      <c r="O322" s="13">
        <f>+N322+1</f>
        <v>2024</v>
      </c>
    </row>
    <row r="323" spans="2:19" ht="12.95" customHeight="1" x14ac:dyDescent="0.2">
      <c r="B323" s="1" t="s">
        <v>35</v>
      </c>
      <c r="K323" s="54"/>
      <c r="L323" s="54"/>
      <c r="M323" s="54"/>
      <c r="N323" s="54"/>
      <c r="O323" s="54"/>
    </row>
    <row r="324" spans="2:19" ht="12.95" customHeight="1" x14ac:dyDescent="0.2">
      <c r="B324" s="4" t="s">
        <v>200</v>
      </c>
      <c r="C324" s="4"/>
      <c r="D324" s="4"/>
      <c r="E324" s="4"/>
      <c r="F324" s="4"/>
      <c r="G324" s="4"/>
      <c r="H324" s="4"/>
      <c r="I324" s="4"/>
      <c r="J324" s="4"/>
      <c r="K324" s="253"/>
      <c r="L324" s="253"/>
      <c r="M324" s="253"/>
      <c r="N324" s="253"/>
      <c r="O324" s="253"/>
    </row>
    <row r="325" spans="2:19" ht="12.95" customHeight="1" x14ac:dyDescent="0.2">
      <c r="B325" s="226" t="s">
        <v>201</v>
      </c>
      <c r="C325" s="226"/>
      <c r="D325" s="226"/>
      <c r="E325" s="226"/>
      <c r="F325" s="226"/>
      <c r="G325" s="226"/>
      <c r="H325" s="226"/>
      <c r="I325" s="226"/>
      <c r="J325" s="226"/>
      <c r="K325" s="37"/>
      <c r="L325" s="37"/>
      <c r="M325" s="37"/>
      <c r="N325" s="37"/>
      <c r="O325" s="37"/>
    </row>
    <row r="326" spans="2:19" ht="12.95" customHeight="1" x14ac:dyDescent="0.2">
      <c r="B326" s="1" t="s">
        <v>202</v>
      </c>
      <c r="K326" s="16"/>
      <c r="L326" s="16"/>
      <c r="M326" s="16"/>
      <c r="N326" s="16"/>
      <c r="O326" s="16"/>
    </row>
    <row r="327" spans="2:19" ht="12.95" customHeight="1" x14ac:dyDescent="0.2">
      <c r="B327" s="4" t="s">
        <v>203</v>
      </c>
      <c r="C327" s="4"/>
      <c r="D327" s="4"/>
      <c r="E327" s="4"/>
      <c r="F327" s="4"/>
      <c r="G327" s="4"/>
      <c r="H327" s="4"/>
      <c r="I327" s="4"/>
      <c r="J327" s="4"/>
      <c r="K327" s="35"/>
      <c r="L327" s="35"/>
      <c r="M327" s="35"/>
      <c r="N327" s="35"/>
      <c r="O327" s="35"/>
    </row>
    <row r="328" spans="2:19" ht="12.95" customHeight="1" x14ac:dyDescent="0.2">
      <c r="B328" s="226" t="s">
        <v>204</v>
      </c>
      <c r="C328" s="226"/>
      <c r="D328" s="226"/>
      <c r="E328" s="226"/>
      <c r="F328" s="226"/>
      <c r="G328" s="226"/>
      <c r="H328" s="226"/>
      <c r="I328" s="226"/>
      <c r="J328" s="226"/>
      <c r="K328" s="37"/>
      <c r="L328" s="37"/>
      <c r="M328" s="37"/>
      <c r="N328" s="37"/>
      <c r="O328" s="37"/>
    </row>
    <row r="329" spans="2:19" ht="12.95" customHeight="1" x14ac:dyDescent="0.2">
      <c r="B329" s="3" t="s">
        <v>336</v>
      </c>
      <c r="C329" s="3"/>
      <c r="D329" s="3"/>
      <c r="E329" s="3"/>
      <c r="F329" s="3"/>
      <c r="G329" s="3"/>
      <c r="H329" s="3"/>
      <c r="I329" s="3"/>
      <c r="J329" s="3"/>
      <c r="K329" s="66"/>
      <c r="L329" s="66"/>
      <c r="M329" s="66"/>
      <c r="N329" s="66"/>
      <c r="O329" s="66"/>
    </row>
    <row r="330" spans="2:19" ht="12.95" customHeight="1" x14ac:dyDescent="0.2">
      <c r="B330" s="69" t="s">
        <v>207</v>
      </c>
      <c r="C330" s="69"/>
      <c r="D330" s="69"/>
      <c r="E330" s="69"/>
      <c r="F330" s="69"/>
      <c r="G330" s="69"/>
      <c r="H330" s="69"/>
      <c r="I330" s="69"/>
      <c r="J330" s="69"/>
      <c r="K330" s="71"/>
      <c r="L330" s="71"/>
      <c r="M330" s="71"/>
      <c r="N330" s="71"/>
      <c r="O330" s="71"/>
    </row>
    <row r="332" spans="2:19" ht="12.95" customHeight="1" x14ac:dyDescent="0.2">
      <c r="F332" s="1" t="s">
        <v>205</v>
      </c>
      <c r="J332" s="250"/>
      <c r="K332" s="15"/>
      <c r="L332" s="15"/>
      <c r="M332" s="15"/>
      <c r="N332" s="15"/>
      <c r="O332" s="15"/>
    </row>
    <row r="334" spans="2:19" ht="12.95" customHeight="1" x14ac:dyDescent="0.2">
      <c r="F334" s="1" t="s">
        <v>208</v>
      </c>
      <c r="K334" s="254"/>
      <c r="L334" s="254"/>
      <c r="M334" s="254"/>
      <c r="N334" s="254"/>
      <c r="O334" s="254"/>
    </row>
    <row r="335" spans="2:19" customFormat="1" ht="3" customHeight="1" x14ac:dyDescent="0.25">
      <c r="Q335" s="1"/>
      <c r="R335" s="1"/>
      <c r="S335" s="1"/>
    </row>
    <row r="336" spans="2:19"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343A-DF34-49B7-9B76-78F9CF18043E}">
  <dimension ref="A2:X342"/>
  <sheetViews>
    <sheetView showGridLines="0" topLeftCell="A307" zoomScale="115" zoomScaleNormal="115" zoomScaleSheetLayoutView="85" workbookViewId="0">
      <selection activeCell="B323" sqref="B323"/>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8" width="3.7109375" style="1" customWidth="1"/>
    <col min="19"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5" ht="12.95" customHeight="1" x14ac:dyDescent="0.2">
      <c r="B97" s="1" t="s">
        <v>177</v>
      </c>
      <c r="J97" s="112"/>
      <c r="K97" s="110"/>
      <c r="L97" s="111"/>
      <c r="M97" s="111"/>
      <c r="N97" s="111"/>
      <c r="O97" s="111"/>
    </row>
    <row r="98" spans="1:15" ht="12.95" customHeight="1" x14ac:dyDescent="0.2">
      <c r="B98" s="1" t="s">
        <v>178</v>
      </c>
      <c r="J98" s="115"/>
      <c r="K98" s="110"/>
      <c r="L98" s="111"/>
      <c r="M98" s="111"/>
      <c r="N98" s="111"/>
      <c r="O98" s="111"/>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5"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5"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5"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5"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5"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5" ht="12.95" customHeight="1" x14ac:dyDescent="0.2">
      <c r="B109" s="4" t="s">
        <v>20</v>
      </c>
      <c r="C109" s="4"/>
      <c r="D109" s="4"/>
      <c r="E109" s="4"/>
      <c r="F109" s="4"/>
      <c r="G109" s="4"/>
      <c r="H109" s="120">
        <v>0</v>
      </c>
      <c r="I109" s="120">
        <v>5.0000000000000001E-3</v>
      </c>
      <c r="J109" s="127">
        <v>7.4999999999999997E-3</v>
      </c>
      <c r="K109" s="62">
        <f ca="1">+K306</f>
        <v>2.5000000000000001E-2</v>
      </c>
      <c r="L109" s="62">
        <f ca="1">+L306</f>
        <v>0.05</v>
      </c>
      <c r="M109" s="62">
        <f ca="1">+M306</f>
        <v>0.05</v>
      </c>
      <c r="N109" s="62">
        <f ca="1">+N306</f>
        <v>0.05</v>
      </c>
      <c r="O109" s="62">
        <f ca="1">+O306</f>
        <v>0.05</v>
      </c>
    </row>
    <row r="110" spans="1:15" ht="12.95" customHeight="1" x14ac:dyDescent="0.2">
      <c r="B110" s="3" t="s">
        <v>198</v>
      </c>
      <c r="C110" s="3"/>
      <c r="D110" s="3"/>
      <c r="E110" s="3"/>
      <c r="F110" s="3"/>
      <c r="G110" s="3"/>
      <c r="H110" s="120">
        <v>0</v>
      </c>
      <c r="I110" s="120">
        <v>0</v>
      </c>
      <c r="J110" s="127">
        <v>0</v>
      </c>
      <c r="K110" s="62">
        <f ca="1">-SUM(K317,K40)</f>
        <v>-87.966929417512091</v>
      </c>
      <c r="L110" s="62">
        <f ca="1">-SUM(L317,L40)</f>
        <v>-84.823805710353895</v>
      </c>
      <c r="M110" s="62">
        <f ca="1">-SUM(M317,M40)</f>
        <v>-80.986464810708995</v>
      </c>
      <c r="N110" s="62">
        <f ca="1">-SUM(N317,N40)</f>
        <v>-76.225568302937845</v>
      </c>
      <c r="O110" s="62">
        <f ca="1">-SUM(O317,O40)</f>
        <v>-68.60400481472638</v>
      </c>
    </row>
    <row r="111" spans="1:15"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ca="1" si="4"/>
        <v>81.297761032487813</v>
      </c>
      <c r="L111" s="222">
        <f t="shared" ca="1" si="4"/>
        <v>100.44167050264605</v>
      </c>
      <c r="M111" s="222">
        <f t="shared" ca="1" si="4"/>
        <v>121.66213268890594</v>
      </c>
      <c r="N111" s="222">
        <f t="shared" ca="1" si="4"/>
        <v>145.3322316299745</v>
      </c>
      <c r="O111" s="222">
        <f t="shared" ca="1" si="4"/>
        <v>173.51755276439692</v>
      </c>
    </row>
    <row r="112" spans="1:15" ht="12.95" customHeight="1" x14ac:dyDescent="0.2">
      <c r="B112" s="4" t="s">
        <v>22</v>
      </c>
      <c r="C112" s="4"/>
      <c r="D112" s="4"/>
      <c r="E112" s="4"/>
      <c r="F112" s="4"/>
      <c r="G112" s="4"/>
      <c r="H112" s="120">
        <v>-47.249999999999986</v>
      </c>
      <c r="I112" s="120">
        <v>-37.558299999999996</v>
      </c>
      <c r="J112" s="127">
        <v>-40.187939999999976</v>
      </c>
      <c r="K112" s="62">
        <f ca="1">-K111*K131</f>
        <v>-21.137417868446832</v>
      </c>
      <c r="L112" s="62">
        <f ca="1">-L111*L131</f>
        <v>-26.114834330687973</v>
      </c>
      <c r="M112" s="62">
        <f ca="1">-M111*M131</f>
        <v>-31.632154499115547</v>
      </c>
      <c r="N112" s="62">
        <f ca="1">-N111*N131</f>
        <v>-37.786380223793373</v>
      </c>
      <c r="O112" s="62">
        <f ca="1">-O111*O131</f>
        <v>-45.114563718743199</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ca="1" si="5"/>
        <v>60.160343164040981</v>
      </c>
      <c r="L113" s="234">
        <f t="shared" ca="1" si="5"/>
        <v>74.326836171958078</v>
      </c>
      <c r="M113" s="234">
        <f t="shared" ca="1" si="5"/>
        <v>90.029978189790398</v>
      </c>
      <c r="N113" s="234">
        <f t="shared" ca="1" si="5"/>
        <v>107.54585140618113</v>
      </c>
      <c r="O113" s="235">
        <f t="shared" ca="1" si="5"/>
        <v>128.40298904565373</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f ca="1">+J139+K220</f>
        <v>5</v>
      </c>
      <c r="L139" s="221">
        <f ca="1">+K139+L220</f>
        <v>5</v>
      </c>
      <c r="M139" s="221">
        <f ca="1">+L139+M220</f>
        <v>5</v>
      </c>
      <c r="N139" s="221">
        <f ca="1">+M139+N220</f>
        <v>5</v>
      </c>
      <c r="O139" s="221">
        <f ca="1">+N139+O220</f>
        <v>5</v>
      </c>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ca="1" si="13"/>
        <v>187.96286050053121</v>
      </c>
      <c r="L143" s="238">
        <f t="shared" ca="1" si="13"/>
        <v>200.52950228475203</v>
      </c>
      <c r="M143" s="238">
        <f t="shared" ca="1" si="13"/>
        <v>213.95895590231126</v>
      </c>
      <c r="N143" s="238">
        <f t="shared" ca="1" si="13"/>
        <v>228.31043846513344</v>
      </c>
      <c r="O143" s="238">
        <f t="shared" ca="1" si="13"/>
        <v>243.64722970282941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ca="1" si="14"/>
        <v>2142.5559154857301</v>
      </c>
      <c r="L149" s="240">
        <f t="shared" ca="1" si="14"/>
        <v>2158.2616405183794</v>
      </c>
      <c r="M149" s="240">
        <f t="shared" ca="1" si="14"/>
        <v>2174.662867136642</v>
      </c>
      <c r="N149" s="240">
        <f t="shared" ca="1" si="14"/>
        <v>2191.7629203555853</v>
      </c>
      <c r="O149" s="241">
        <f t="shared" ca="1" si="14"/>
        <v>2209.5621827346149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 ca="1">+K256</f>
        <v>0</v>
      </c>
      <c r="L159" s="35">
        <f ca="1">+L256</f>
        <v>0</v>
      </c>
      <c r="M159" s="35">
        <f ca="1">+M256</f>
        <v>0</v>
      </c>
      <c r="N159" s="35">
        <f ca="1">+N256</f>
        <v>0</v>
      </c>
      <c r="O159" s="35">
        <f ca="1">+O256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f ca="1">+K270</f>
        <v>313.68842044632839</v>
      </c>
      <c r="L160" s="35">
        <f ca="1">+L270</f>
        <v>225.91463196192365</v>
      </c>
      <c r="M160" s="35">
        <f ca="1">+M270</f>
        <v>120.88850915452724</v>
      </c>
      <c r="N160" s="35">
        <f ca="1">+N270</f>
        <v>0</v>
      </c>
      <c r="O160" s="35">
        <f ca="1">+O270</f>
        <v>0</v>
      </c>
      <c r="Q160" s="174"/>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f ca="1">+K281</f>
        <v>210.91055916666659</v>
      </c>
      <c r="L161" s="35">
        <f ca="1">+L281</f>
        <v>228.48643909722213</v>
      </c>
      <c r="M161" s="35">
        <f ca="1">+M281</f>
        <v>247.5269756886573</v>
      </c>
      <c r="N161" s="35">
        <f ca="1">+N281</f>
        <v>264.78033587676589</v>
      </c>
      <c r="O161" s="35">
        <f ca="1">+O281</f>
        <v>140.09873852710791</v>
      </c>
      <c r="Q161" s="174"/>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f ca="1">+K291</f>
        <v>486.71667499999984</v>
      </c>
      <c r="L162" s="66">
        <f ca="1">+L291</f>
        <v>486.71667499999984</v>
      </c>
      <c r="M162" s="66">
        <f ca="1">+M291</f>
        <v>486.71667499999984</v>
      </c>
      <c r="N162" s="66">
        <f ca="1">+N291</f>
        <v>486.71667499999984</v>
      </c>
      <c r="O162" s="66">
        <f ca="1">+O291</f>
        <v>486.71667499999984</v>
      </c>
      <c r="Q162" s="174"/>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ca="1" si="16"/>
        <v>1011.3156546129949</v>
      </c>
      <c r="L163" s="238">
        <f t="shared" ca="1" si="16"/>
        <v>941.1177460591457</v>
      </c>
      <c r="M163" s="238">
        <f t="shared" ca="1" si="16"/>
        <v>855.13215984318435</v>
      </c>
      <c r="N163" s="238">
        <f t="shared" ca="1" si="16"/>
        <v>751.49701087676567</v>
      </c>
      <c r="O163" s="238">
        <f t="shared" ca="1" si="16"/>
        <v>626.81541352710769</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 ca="1">+J165+K113</f>
        <v>959.66589186404076</v>
      </c>
      <c r="L165" s="35">
        <f ca="1">+K165+L113</f>
        <v>1033.9927280359989</v>
      </c>
      <c r="M165" s="35">
        <f ca="1">+L165+M113</f>
        <v>1124.0227062257893</v>
      </c>
      <c r="N165" s="35">
        <f ca="1">+M165+N113</f>
        <v>1231.5685576319704</v>
      </c>
      <c r="O165" s="35">
        <f ca="1">+N165+O113</f>
        <v>1359.9715466776242</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ca="1" si="17"/>
        <v>2142.5559154857301</v>
      </c>
      <c r="L166" s="22">
        <f t="shared" ca="1" si="17"/>
        <v>2158.2616405183799</v>
      </c>
      <c r="M166" s="22">
        <f t="shared" ca="1" si="17"/>
        <v>2174.6628671366425</v>
      </c>
      <c r="N166" s="22">
        <f t="shared" ca="1" si="17"/>
        <v>2191.7629203555853</v>
      </c>
      <c r="O166" s="23">
        <f t="shared" ca="1" si="17"/>
        <v>2209.5621827346154</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ca="1" si="18"/>
        <v>0</v>
      </c>
      <c r="L168" s="175">
        <f t="shared" ca="1" si="18"/>
        <v>0</v>
      </c>
      <c r="M168" s="175">
        <f t="shared" ca="1" si="18"/>
        <v>0</v>
      </c>
      <c r="N168" s="175">
        <f t="shared" ca="1" si="18"/>
        <v>0</v>
      </c>
      <c r="O168" s="175">
        <f t="shared" ca="1" si="18"/>
        <v>0</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 ca="1">+(K143-K139)-K154</f>
        <v>22.413878491836641</v>
      </c>
      <c r="L186" s="200">
        <f ca="1">+(L143-L139)-L154</f>
        <v>24.17549995151694</v>
      </c>
      <c r="M186" s="200">
        <f ca="1">+(M143-M139)-M154</f>
        <v>26.073920410942577</v>
      </c>
      <c r="N186" s="200">
        <f ca="1">+(N143-N139)-N154</f>
        <v>28.11965978492529</v>
      </c>
      <c r="O186" s="200">
        <f ca="1">+(O143-O139)-O154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 ca="1">+K186/K171</f>
        <v>2.0329334917528644E-2</v>
      </c>
      <c r="L187" s="203">
        <f ca="1">+L186/L171</f>
        <v>2.0492636846519387E-2</v>
      </c>
      <c r="M187" s="203">
        <f ca="1">+M186/M171</f>
        <v>2.0655938775510207E-2</v>
      </c>
      <c r="N187" s="203">
        <f ca="1">+N186/N171</f>
        <v>2.0819240704500967E-2</v>
      </c>
      <c r="O187" s="203">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 ca="1">+K113</f>
        <v>60.160343164040981</v>
      </c>
      <c r="L193" s="15">
        <f ca="1">+L113</f>
        <v>74.326836171958078</v>
      </c>
      <c r="M193" s="15">
        <f ca="1">+M113</f>
        <v>90.029978189790398</v>
      </c>
      <c r="N193" s="15">
        <f ca="1">+N113</f>
        <v>107.54585140618113</v>
      </c>
      <c r="O193" s="15">
        <f ca="1">+O113</f>
        <v>128.40298904565373</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f ca="1">K316</f>
        <v>16.223889166666662</v>
      </c>
      <c r="L196" s="62">
        <f t="shared" ref="L196:O196" ca="1" si="19">L316</f>
        <v>17.575879930555548</v>
      </c>
      <c r="M196" s="62">
        <f t="shared" ca="1" si="19"/>
        <v>19.040536591435178</v>
      </c>
      <c r="N196" s="62">
        <f t="shared" ca="1" si="19"/>
        <v>20.49229246261693</v>
      </c>
      <c r="O196" s="62">
        <f t="shared" ca="1" si="19"/>
        <v>16.195162976154954</v>
      </c>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20">+(J140-K140)</f>
        <v>-4.5168657534246393</v>
      </c>
      <c r="L199" s="16">
        <f t="shared" si="20"/>
        <v>-6.3433733424657532</v>
      </c>
      <c r="M199" s="16">
        <f t="shared" si="20"/>
        <v>-6.7874094764383699</v>
      </c>
      <c r="N199" s="16">
        <f t="shared" si="20"/>
        <v>-7.2625281397890546</v>
      </c>
      <c r="O199" s="16">
        <f t="shared" si="20"/>
        <v>-7.7709051095742865</v>
      </c>
    </row>
    <row r="200" spans="2:15" ht="12.95" customHeight="1" x14ac:dyDescent="0.2">
      <c r="B200" s="1" t="str">
        <f>+"(Increase) / Decrease in "&amp;B141</f>
        <v>(Increase) / Decrease in Inventories</v>
      </c>
      <c r="H200" s="38"/>
      <c r="I200" s="38"/>
      <c r="J200" s="38"/>
      <c r="K200" s="16">
        <f t="shared" si="20"/>
        <v>-4.2586686249870525</v>
      </c>
      <c r="L200" s="16">
        <f t="shared" si="20"/>
        <v>-4.2166480077551114</v>
      </c>
      <c r="M200" s="16">
        <f t="shared" si="20"/>
        <v>-4.4949602767408265</v>
      </c>
      <c r="N200" s="16">
        <f t="shared" si="20"/>
        <v>-4.7915746881465395</v>
      </c>
      <c r="O200" s="16">
        <f t="shared" si="20"/>
        <v>-5.1076898117930227</v>
      </c>
    </row>
    <row r="201" spans="2:15" ht="12.95" customHeight="1" x14ac:dyDescent="0.2">
      <c r="B201" s="1" t="str">
        <f>+"(Increase) / Decrease in "&amp;B142</f>
        <v>(Increase) / Decrease in Prepaid Expenses</v>
      </c>
      <c r="H201" s="38"/>
      <c r="I201" s="38"/>
      <c r="J201" s="38"/>
      <c r="K201" s="16">
        <f t="shared" si="20"/>
        <v>-0.84493619999999936</v>
      </c>
      <c r="L201" s="16">
        <f t="shared" si="20"/>
        <v>-2.0066204339999985</v>
      </c>
      <c r="M201" s="16">
        <f t="shared" si="20"/>
        <v>-2.1470838643800079</v>
      </c>
      <c r="N201" s="16">
        <f t="shared" si="20"/>
        <v>-2.2973797348865972</v>
      </c>
      <c r="O201" s="16">
        <f t="shared" si="20"/>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21">+K151-J151</f>
        <v>5.1904433589041119</v>
      </c>
      <c r="L203" s="16">
        <f t="shared" si="21"/>
        <v>3.396423326794519</v>
      </c>
      <c r="M203" s="16">
        <f t="shared" si="21"/>
        <v>3.62059814071727</v>
      </c>
      <c r="N203" s="16">
        <f t="shared" si="21"/>
        <v>3.8595149542878886</v>
      </c>
      <c r="O203" s="16">
        <f t="shared" si="21"/>
        <v>4.1141391908688973</v>
      </c>
    </row>
    <row r="204" spans="2:15" ht="12.95" customHeight="1" x14ac:dyDescent="0.2">
      <c r="B204" s="1" t="str">
        <f>+"Increase / (Decrease) in "&amp;B152</f>
        <v>Increase / (Decrease) in Accrued Liabilities</v>
      </c>
      <c r="H204" s="38"/>
      <c r="I204" s="38"/>
      <c r="J204" s="38"/>
      <c r="K204" s="16">
        <f t="shared" si="21"/>
        <v>5.0838265539000034</v>
      </c>
      <c r="L204" s="16">
        <f t="shared" si="21"/>
        <v>3.5497115477460071</v>
      </c>
      <c r="M204" s="16">
        <f t="shared" si="21"/>
        <v>3.7814275859163331</v>
      </c>
      <c r="N204" s="16">
        <f t="shared" si="21"/>
        <v>4.0281902828465519</v>
      </c>
      <c r="O204" s="16">
        <f t="shared" si="21"/>
        <v>4.2909707621760305</v>
      </c>
    </row>
    <row r="205" spans="2:15" ht="12.95" customHeight="1" x14ac:dyDescent="0.2">
      <c r="B205" s="1" t="str">
        <f>+"Increase / (Decrease) in "&amp;B153</f>
        <v>Increase / (Decrease) in Deferred Revenue</v>
      </c>
      <c r="H205" s="38"/>
      <c r="I205" s="38"/>
      <c r="J205" s="38"/>
      <c r="K205" s="16">
        <f t="shared" si="21"/>
        <v>11.334509999999995</v>
      </c>
      <c r="L205" s="16">
        <f t="shared" si="21"/>
        <v>3.8588854500000025</v>
      </c>
      <c r="M205" s="16">
        <f t="shared" si="21"/>
        <v>4.129007431500014</v>
      </c>
      <c r="N205" s="16">
        <f t="shared" si="21"/>
        <v>4.4180379517050028</v>
      </c>
      <c r="O205" s="16">
        <f t="shared" si="21"/>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 ca="1">+SUM(K193:K196,K207)</f>
        <v>126.44027560367149</v>
      </c>
      <c r="L209" s="22">
        <f ca="1">+SUM(L193:L196,L207)</f>
        <v>137.32187766240475</v>
      </c>
      <c r="M209" s="22">
        <f ca="1">+SUM(M193:M196,M207)</f>
        <v>158.67372650667141</v>
      </c>
      <c r="N209" s="22">
        <f ca="1">+SUM(N193:N196,N207)</f>
        <v>182.20570604559188</v>
      </c>
      <c r="O209" s="23">
        <f ca="1">+SUM(O193:O196,O207)</f>
        <v>203.7431051299435</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 ca="1">+L228</f>
        <v>-7.787466799999998</v>
      </c>
      <c r="M216" s="16">
        <f ca="1">+M228</f>
        <v>-7.787466799999998</v>
      </c>
      <c r="N216" s="16">
        <f ca="1">+N228</f>
        <v>-7.787466799999998</v>
      </c>
      <c r="O216" s="16">
        <f ca="1">+O228</f>
        <v>0</v>
      </c>
    </row>
    <row r="217" spans="1:15" ht="12.95" customHeight="1" x14ac:dyDescent="0.2">
      <c r="B217" s="3" t="s">
        <v>83</v>
      </c>
      <c r="C217" s="3"/>
      <c r="D217" s="3"/>
      <c r="E217" s="3"/>
      <c r="F217" s="3"/>
      <c r="G217" s="3"/>
      <c r="H217" s="27"/>
      <c r="I217" s="27"/>
      <c r="J217" s="27"/>
      <c r="K217" s="66">
        <f ca="1">+K245</f>
        <v>-67.897452753671487</v>
      </c>
      <c r="L217" s="66">
        <f ca="1">+L245</f>
        <v>-79.986321684404743</v>
      </c>
      <c r="M217" s="66">
        <f ca="1">+M245</f>
        <v>-97.238656007396401</v>
      </c>
      <c r="N217" s="66">
        <f ca="1">+N245</f>
        <v>-116.33997462903557</v>
      </c>
      <c r="O217" s="66">
        <f ca="1">+O245</f>
        <v>-140.87676032581294</v>
      </c>
    </row>
    <row r="218" spans="1:15" s="76" customFormat="1" ht="12.95" customHeight="1" x14ac:dyDescent="0.2">
      <c r="B218" s="69" t="s">
        <v>84</v>
      </c>
      <c r="C218" s="69"/>
      <c r="D218" s="69"/>
      <c r="E218" s="69"/>
      <c r="F218" s="69"/>
      <c r="G218" s="69"/>
      <c r="H218" s="210"/>
      <c r="I218" s="210"/>
      <c r="J218" s="210"/>
      <c r="K218" s="71">
        <f ca="1">+SUM(K216:K217)</f>
        <v>-75.684919553671492</v>
      </c>
      <c r="L218" s="71">
        <f ca="1">+SUM(L216:L217)</f>
        <v>-87.773788484404747</v>
      </c>
      <c r="M218" s="71">
        <f ca="1">+SUM(M216:M217)</f>
        <v>-105.0261228073964</v>
      </c>
      <c r="N218" s="71">
        <f ca="1">+SUM(N216:N217)</f>
        <v>-124.12744142903557</v>
      </c>
      <c r="O218" s="71">
        <f ca="1">+SUM(O216:O217)</f>
        <v>-140.87676032581294</v>
      </c>
    </row>
    <row r="220" spans="1:15" ht="12.95" customHeight="1" x14ac:dyDescent="0.2">
      <c r="B220" s="207" t="s">
        <v>87</v>
      </c>
      <c r="C220" s="208"/>
      <c r="D220" s="208"/>
      <c r="E220" s="208"/>
      <c r="F220" s="208"/>
      <c r="G220" s="208"/>
      <c r="H220" s="209"/>
      <c r="I220" s="209"/>
      <c r="J220" s="209"/>
      <c r="K220" s="22">
        <f ca="1">+K209+K213+K218</f>
        <v>5</v>
      </c>
      <c r="L220" s="22">
        <f ca="1">+L209+L213+L218</f>
        <v>0</v>
      </c>
      <c r="M220" s="22">
        <f ca="1">+M209+M213+M218</f>
        <v>0</v>
      </c>
      <c r="N220" s="22">
        <f ca="1">+N209+N213+N218</f>
        <v>0</v>
      </c>
      <c r="O220" s="2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 ca="1">+L268</f>
        <v>-7.787466799999998</v>
      </c>
      <c r="M227" s="211">
        <f ca="1">+M268</f>
        <v>-7.787466799999998</v>
      </c>
      <c r="N227" s="211">
        <f ca="1">+N268</f>
        <v>-7.787466799999998</v>
      </c>
      <c r="O227" s="211">
        <f ca="1">+O268</f>
        <v>0</v>
      </c>
    </row>
    <row r="228" spans="2:15" s="76" customFormat="1" ht="12.95" customHeight="1" x14ac:dyDescent="0.2">
      <c r="B228" s="69" t="s">
        <v>74</v>
      </c>
      <c r="C228" s="69"/>
      <c r="D228" s="69"/>
      <c r="E228" s="69"/>
      <c r="F228" s="69"/>
      <c r="G228" s="69"/>
      <c r="H228" s="212"/>
      <c r="I228" s="212"/>
      <c r="J228" s="212"/>
      <c r="K228" s="71">
        <f>+SUM(K227)</f>
        <v>-7.787466799999998</v>
      </c>
      <c r="L228" s="71">
        <f ca="1">+SUM(L227)</f>
        <v>-7.787466799999998</v>
      </c>
      <c r="M228" s="71">
        <f ca="1">+SUM(M227)</f>
        <v>-7.787466799999998</v>
      </c>
      <c r="N228" s="71">
        <f ca="1">+SUM(N227)</f>
        <v>-7.787466799999998</v>
      </c>
      <c r="O228" s="71">
        <f ca="1">+SUM(O227)</f>
        <v>0</v>
      </c>
    </row>
    <row r="230" spans="2:15" ht="12.95" customHeight="1" x14ac:dyDescent="0.2">
      <c r="B230" s="24" t="s">
        <v>196</v>
      </c>
    </row>
    <row r="231" spans="2:15" ht="12.95" customHeight="1" x14ac:dyDescent="0.2">
      <c r="B231" s="1" t="s">
        <v>122</v>
      </c>
      <c r="K231" s="16">
        <f ca="1">+K209+K213</f>
        <v>80.684919553671492</v>
      </c>
      <c r="L231" s="16">
        <f ca="1">+L209+L213</f>
        <v>87.773788484404747</v>
      </c>
      <c r="M231" s="16">
        <f ca="1">+M209+M213</f>
        <v>105.0261228073964</v>
      </c>
      <c r="N231" s="16">
        <f ca="1">+N209+N213</f>
        <v>124.12744142903557</v>
      </c>
      <c r="O231" s="16">
        <f ca="1">+O209+O213</f>
        <v>140.87676032581294</v>
      </c>
    </row>
    <row r="232" spans="2:15" ht="12.95" customHeight="1" x14ac:dyDescent="0.2">
      <c r="B232" s="1" t="s">
        <v>123</v>
      </c>
      <c r="K232" s="16">
        <f>+K228</f>
        <v>-7.787466799999998</v>
      </c>
      <c r="L232" s="16">
        <f ca="1">+L228</f>
        <v>-7.787466799999998</v>
      </c>
      <c r="M232" s="16">
        <f ca="1">+M228</f>
        <v>-7.787466799999998</v>
      </c>
      <c r="N232" s="16">
        <f ca="1">+N228</f>
        <v>-7.787466799999998</v>
      </c>
      <c r="O232" s="16">
        <f ca="1">+O228</f>
        <v>0</v>
      </c>
    </row>
    <row r="233" spans="2:15" s="76" customFormat="1" ht="12.95" customHeight="1" x14ac:dyDescent="0.2">
      <c r="B233" s="20" t="s">
        <v>75</v>
      </c>
      <c r="C233" s="21"/>
      <c r="D233" s="21"/>
      <c r="E233" s="21"/>
      <c r="F233" s="21"/>
      <c r="G233" s="21"/>
      <c r="H233" s="21"/>
      <c r="I233" s="21"/>
      <c r="J233" s="21"/>
      <c r="K233" s="22">
        <f ca="1">SUM(K231:K232)</f>
        <v>72.897452753671487</v>
      </c>
      <c r="L233" s="22">
        <f ca="1">SUM(L231:L232)</f>
        <v>79.986321684404743</v>
      </c>
      <c r="M233" s="22">
        <f ca="1">SUM(M231:M232)</f>
        <v>97.238656007396401</v>
      </c>
      <c r="N233" s="22">
        <f ca="1">SUM(N231:N232)</f>
        <v>116.33997462903557</v>
      </c>
      <c r="O233" s="23">
        <f ca="1">SUM(O231:O232)</f>
        <v>140.87676032581294</v>
      </c>
    </row>
    <row r="235" spans="2:15" ht="12.95" customHeight="1" x14ac:dyDescent="0.2">
      <c r="B235" s="1" t="s">
        <v>76</v>
      </c>
      <c r="H235" s="38"/>
      <c r="I235" s="38"/>
      <c r="J235" s="38"/>
      <c r="K235" s="16">
        <f>+J139</f>
        <v>0</v>
      </c>
      <c r="L235" s="16">
        <f ca="1">+K139</f>
        <v>5</v>
      </c>
      <c r="M235" s="16">
        <f ca="1">+L139</f>
        <v>5</v>
      </c>
      <c r="N235" s="16">
        <f ca="1">+M139</f>
        <v>5</v>
      </c>
      <c r="O235" s="16">
        <f ca="1">+N139</f>
        <v>5</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 ca="1">+K233</f>
        <v>72.897452753671487</v>
      </c>
      <c r="L237" s="35">
        <f ca="1">+L233</f>
        <v>79.986321684404743</v>
      </c>
      <c r="M237" s="35">
        <f ca="1">+M233</f>
        <v>97.238656007396401</v>
      </c>
      <c r="N237" s="35">
        <f ca="1">+N233</f>
        <v>116.33997462903557</v>
      </c>
      <c r="O237" s="35">
        <f ca="1">+O233</f>
        <v>140.87676032581294</v>
      </c>
    </row>
    <row r="238" spans="2:15" s="76" customFormat="1" ht="12.95" customHeight="1" x14ac:dyDescent="0.2">
      <c r="B238" s="20" t="s">
        <v>86</v>
      </c>
      <c r="C238" s="21"/>
      <c r="D238" s="21"/>
      <c r="E238" s="21"/>
      <c r="F238" s="21"/>
      <c r="G238" s="21"/>
      <c r="H238" s="172"/>
      <c r="I238" s="172"/>
      <c r="J238" s="172"/>
      <c r="K238" s="22">
        <f ca="1">SUM(K235:K237)</f>
        <v>67.897452753671487</v>
      </c>
      <c r="L238" s="22">
        <f ca="1">SUM(L235:L237)</f>
        <v>79.986321684404743</v>
      </c>
      <c r="M238" s="22">
        <f ca="1">SUM(M235:M237)</f>
        <v>97.238656007396401</v>
      </c>
      <c r="N238" s="22">
        <f ca="1">SUM(N235:N237)</f>
        <v>116.33997462903557</v>
      </c>
      <c r="O238" s="23">
        <f ca="1">SUM(O235:O237)</f>
        <v>140.87676032581294</v>
      </c>
    </row>
    <row r="240" spans="2:15" s="76" customFormat="1" ht="12.95" customHeight="1" x14ac:dyDescent="0.2">
      <c r="B240" s="24" t="s">
        <v>79</v>
      </c>
    </row>
    <row r="241" spans="1:15" ht="12.95" customHeight="1" x14ac:dyDescent="0.2">
      <c r="B241" s="1" t="str">
        <f>+B159</f>
        <v>Revolving Credit Facility</v>
      </c>
      <c r="K241" s="16">
        <f ca="1">+K255</f>
        <v>0</v>
      </c>
      <c r="L241" s="16">
        <f ca="1">+L255</f>
        <v>0</v>
      </c>
      <c r="M241" s="16">
        <f ca="1">+M255</f>
        <v>0</v>
      </c>
      <c r="N241" s="16">
        <f ca="1">+N255</f>
        <v>0</v>
      </c>
      <c r="O241" s="16">
        <f ca="1">+O255</f>
        <v>0</v>
      </c>
    </row>
    <row r="242" spans="1:15" ht="12.95" customHeight="1" x14ac:dyDescent="0.2">
      <c r="B242" s="1" t="str">
        <f>+B160</f>
        <v>First Lien Term Loan</v>
      </c>
      <c r="K242" s="16">
        <f ca="1">+K269</f>
        <v>-67.897452753671487</v>
      </c>
      <c r="L242" s="16">
        <f ca="1">+L269</f>
        <v>-79.986321684404743</v>
      </c>
      <c r="M242" s="16">
        <f ca="1">+M269</f>
        <v>-97.238656007396401</v>
      </c>
      <c r="N242" s="16">
        <f ca="1">+N269</f>
        <v>-113.10104235452724</v>
      </c>
      <c r="O242" s="16">
        <f ca="1">+O269</f>
        <v>0</v>
      </c>
    </row>
    <row r="243" spans="1:15" ht="12.95" customHeight="1" x14ac:dyDescent="0.2">
      <c r="B243" s="1" t="str">
        <f>+B161</f>
        <v>Second Lien Term Loan</v>
      </c>
      <c r="K243" s="16">
        <f ca="1">+K280</f>
        <v>0</v>
      </c>
      <c r="L243" s="16">
        <f ca="1">+L280</f>
        <v>0</v>
      </c>
      <c r="M243" s="16">
        <f ca="1">+M280</f>
        <v>0</v>
      </c>
      <c r="N243" s="16">
        <f ca="1">+N280</f>
        <v>-3.2389322745083291</v>
      </c>
      <c r="O243" s="16">
        <f ca="1">+O280</f>
        <v>-140.87676032581294</v>
      </c>
    </row>
    <row r="244" spans="1:15" ht="12.95" customHeight="1" x14ac:dyDescent="0.2">
      <c r="B244" s="3" t="str">
        <f>+B162</f>
        <v>Notes</v>
      </c>
      <c r="C244" s="3"/>
      <c r="D244" s="3"/>
      <c r="E244" s="3"/>
      <c r="F244" s="3"/>
      <c r="G244" s="3"/>
      <c r="H244" s="3"/>
      <c r="I244" s="3"/>
      <c r="J244" s="3"/>
      <c r="K244" s="66">
        <f ca="1">+K290</f>
        <v>0</v>
      </c>
      <c r="L244" s="66">
        <f ca="1">+L290</f>
        <v>0</v>
      </c>
      <c r="M244" s="66">
        <f ca="1">+M290</f>
        <v>0</v>
      </c>
      <c r="N244" s="66">
        <f ca="1">+N290</f>
        <v>0</v>
      </c>
      <c r="O244" s="66">
        <f ca="1">+O290</f>
        <v>0</v>
      </c>
    </row>
    <row r="245" spans="1:15" s="76" customFormat="1" ht="12.95" customHeight="1" x14ac:dyDescent="0.2">
      <c r="B245" s="69" t="s">
        <v>80</v>
      </c>
      <c r="C245" s="69"/>
      <c r="D245" s="69"/>
      <c r="E245" s="69"/>
      <c r="F245" s="69"/>
      <c r="G245" s="69"/>
      <c r="H245" s="69"/>
      <c r="I245" s="69"/>
      <c r="J245" s="69"/>
      <c r="K245" s="71">
        <f ca="1">SUM(K241:K244)</f>
        <v>-67.897452753671487</v>
      </c>
      <c r="L245" s="71">
        <f ca="1">SUM(L241:L244)</f>
        <v>-79.986321684404743</v>
      </c>
      <c r="M245" s="71">
        <f ca="1">SUM(M241:M244)</f>
        <v>-97.238656007396401</v>
      </c>
      <c r="N245" s="71">
        <f ca="1">SUM(N241:N244)</f>
        <v>-116.33997462903557</v>
      </c>
      <c r="O245" s="71">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206"/>
      <c r="M249" s="206"/>
      <c r="N249" s="206"/>
      <c r="O249" s="206"/>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13">
        <v>0.02</v>
      </c>
      <c r="L251" s="214">
        <f>+K251</f>
        <v>0.02</v>
      </c>
      <c r="M251" s="214">
        <f>+L251</f>
        <v>0.02</v>
      </c>
      <c r="N251" s="214">
        <f>+M251</f>
        <v>0.02</v>
      </c>
      <c r="O251" s="214">
        <f>+N251</f>
        <v>0.02</v>
      </c>
    </row>
    <row r="252" spans="1:15" s="4" customFormat="1" ht="12.95" customHeight="1" x14ac:dyDescent="0.2">
      <c r="K252" s="118"/>
      <c r="L252" s="118"/>
      <c r="M252" s="118"/>
      <c r="N252" s="118"/>
      <c r="O252" s="118"/>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15">
        <f>+J159</f>
        <v>0</v>
      </c>
      <c r="L254" s="54">
        <f ca="1">+K256</f>
        <v>0</v>
      </c>
      <c r="M254" s="54">
        <f ca="1">+L256</f>
        <v>0</v>
      </c>
      <c r="N254" s="54">
        <f ca="1">+M256</f>
        <v>0</v>
      </c>
      <c r="O254" s="54">
        <f ca="1">+N256</f>
        <v>0</v>
      </c>
    </row>
    <row r="255" spans="1:15" ht="12.95" customHeight="1" x14ac:dyDescent="0.2">
      <c r="B255" s="3" t="s">
        <v>94</v>
      </c>
      <c r="C255" s="3"/>
      <c r="D255" s="3"/>
      <c r="E255" s="3"/>
      <c r="F255" s="3"/>
      <c r="G255" s="3"/>
      <c r="H255" s="3"/>
      <c r="I255" s="3"/>
      <c r="J255" s="3"/>
      <c r="K255" s="66">
        <f ca="1">-MIN(K238,K254)</f>
        <v>0</v>
      </c>
      <c r="L255" s="66">
        <f ca="1">-MIN(L238,L254)</f>
        <v>0</v>
      </c>
      <c r="M255" s="66">
        <f ca="1">-MIN(M238,M254)</f>
        <v>0</v>
      </c>
      <c r="N255" s="66">
        <f ca="1">-MIN(N238,N254)</f>
        <v>0</v>
      </c>
      <c r="O255" s="66">
        <f ca="1">-MIN(O238,O254)</f>
        <v>0</v>
      </c>
    </row>
    <row r="256" spans="1:15" ht="12.95" customHeight="1" x14ac:dyDescent="0.2">
      <c r="B256" s="69" t="s">
        <v>192</v>
      </c>
      <c r="C256" s="69"/>
      <c r="D256" s="69"/>
      <c r="E256" s="69"/>
      <c r="F256" s="69"/>
      <c r="G256" s="69"/>
      <c r="H256" s="69"/>
      <c r="I256" s="69"/>
      <c r="J256" s="69"/>
      <c r="K256" s="71">
        <f ca="1">SUM(K254:K255)</f>
        <v>0</v>
      </c>
      <c r="L256" s="71">
        <f ca="1">SUM(L254:L255)</f>
        <v>0</v>
      </c>
      <c r="M256" s="71">
        <f ca="1">SUM(M254:M255)</f>
        <v>0</v>
      </c>
      <c r="N256" s="71">
        <f ca="1">SUM(N254:N255)</f>
        <v>0</v>
      </c>
      <c r="O256" s="71">
        <f ca="1">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 ca="1">+AVERAGE(K254,K256)</f>
        <v>0</v>
      </c>
      <c r="L258" s="35">
        <f ca="1">+AVERAGE(L254,L256)</f>
        <v>0</v>
      </c>
      <c r="M258" s="35">
        <f ca="1">+AVERAGE(M254,M256)</f>
        <v>0</v>
      </c>
      <c r="N258" s="35">
        <f ca="1">+AVERAGE(N254,N256)</f>
        <v>0</v>
      </c>
      <c r="O258" s="35">
        <f ca="1">+AVERAGE(O254,O256)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f ca="1">+IF($E$5=1,K258,0)*K259</f>
        <v>0</v>
      </c>
      <c r="L260" s="54">
        <f ca="1">+IF($E$5=1,L258,0)*L259</f>
        <v>0</v>
      </c>
      <c r="M260" s="54">
        <f ca="1">+IF($E$5=1,M258,0)*M259</f>
        <v>0</v>
      </c>
      <c r="N260" s="54">
        <f ca="1">+IF($E$5=1,N258,0)*N259</f>
        <v>0</v>
      </c>
      <c r="O260" s="54">
        <f ca="1">+IF($E$5=1,O258,0)*O259</f>
        <v>0</v>
      </c>
    </row>
    <row r="261" spans="2:15" s="4" customFormat="1" ht="12.95" customHeight="1" x14ac:dyDescent="0.2">
      <c r="B261" s="4" t="s">
        <v>158</v>
      </c>
      <c r="G261" s="4" t="s">
        <v>147</v>
      </c>
      <c r="I261" s="218">
        <v>25</v>
      </c>
      <c r="K261" s="15">
        <f ca="1">+IF($E$5=1,($I$258-K258),0)*$I$261/10000</f>
        <v>0.25</v>
      </c>
      <c r="L261" s="15">
        <f ca="1">+IF($E$5=1,($I$258-L258),0)*$I$261/10000</f>
        <v>0.25</v>
      </c>
      <c r="M261" s="15">
        <f ca="1">+IF($E$5=1,($I$258-M258),0)*$I$261/10000</f>
        <v>0.25</v>
      </c>
      <c r="N261" s="15">
        <f ca="1">+IF($E$5=1,($I$258-N258),0)*$I$261/10000</f>
        <v>0.25</v>
      </c>
      <c r="O261" s="15">
        <f ca="1">+IF($E$5=1,($I$258-O258),0)*$I$261/10000</f>
        <v>0.25</v>
      </c>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 ca="1">+IF(K256&gt;$I$258,1,0)</f>
        <v>0</v>
      </c>
      <c r="L264" s="14">
        <f ca="1">+IF(L256&gt;$I$258,1,0)</f>
        <v>0</v>
      </c>
      <c r="M264" s="14">
        <f ca="1">+IF(M256&gt;$I$258,1,0)</f>
        <v>0</v>
      </c>
      <c r="N264" s="14">
        <f ca="1">+IF(N256&gt;$I$258,1,0)</f>
        <v>0</v>
      </c>
      <c r="O264" s="14">
        <f ca="1">+IF(O256&gt;$I$258,1,0)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 ca="1">+K270</f>
        <v>313.68842044632839</v>
      </c>
      <c r="M267" s="54">
        <f ca="1">+L270</f>
        <v>225.91463196192365</v>
      </c>
      <c r="N267" s="54">
        <f ca="1">+M270</f>
        <v>120.88850915452724</v>
      </c>
      <c r="O267" s="54">
        <f ca="1">+N270</f>
        <v>0</v>
      </c>
    </row>
    <row r="268" spans="2:15" s="4" customFormat="1" ht="12.95" customHeight="1" x14ac:dyDescent="0.2">
      <c r="B268" s="33" t="s">
        <v>92</v>
      </c>
      <c r="G268" s="4" t="s">
        <v>97</v>
      </c>
      <c r="I268" s="219">
        <v>0.02</v>
      </c>
      <c r="K268" s="35">
        <f>-MIN($K$267*$I$268,K267)</f>
        <v>-7.787466799999998</v>
      </c>
      <c r="L268" s="35">
        <f ca="1">-MIN($K$267*$I$268,L267)</f>
        <v>-7.787466799999998</v>
      </c>
      <c r="M268" s="35">
        <f ca="1">-MIN($K$267*$I$268,M267)</f>
        <v>-7.787466799999998</v>
      </c>
      <c r="N268" s="35">
        <f ca="1">-MIN($K$267*$I$268,N267)</f>
        <v>-7.787466799999998</v>
      </c>
      <c r="O268" s="35">
        <f ca="1">-MIN($K$267*$I$268,O267)</f>
        <v>0</v>
      </c>
    </row>
    <row r="269" spans="2:15" ht="12.95" customHeight="1" x14ac:dyDescent="0.2">
      <c r="B269" s="3" t="s">
        <v>89</v>
      </c>
      <c r="C269" s="3"/>
      <c r="D269" s="3"/>
      <c r="E269" s="3"/>
      <c r="F269" s="3"/>
      <c r="G269" s="3"/>
      <c r="H269" s="3"/>
      <c r="I269" s="3"/>
      <c r="J269" s="3"/>
      <c r="K269" s="66">
        <f ca="1">-MIN(SUM(K267:K268),SUM(K238:K241))</f>
        <v>-67.897452753671487</v>
      </c>
      <c r="L269" s="66">
        <f ca="1">-MIN(SUM(L267:L268),SUM(L238:L241))</f>
        <v>-79.986321684404743</v>
      </c>
      <c r="M269" s="66">
        <f ca="1">-MIN(SUM(M267:M268),SUM(M238:M241))</f>
        <v>-97.238656007396401</v>
      </c>
      <c r="N269" s="66">
        <f ca="1">-MIN(SUM(N267:N268),SUM(N238:N241))</f>
        <v>-113.10104235452724</v>
      </c>
      <c r="O269" s="66">
        <f ca="1">-MIN(SUM(O267:O268),SUM(O238:O241))</f>
        <v>0</v>
      </c>
    </row>
    <row r="270" spans="2:15" ht="12.95" customHeight="1" x14ac:dyDescent="0.2">
      <c r="B270" s="69" t="s">
        <v>192</v>
      </c>
      <c r="C270" s="69"/>
      <c r="D270" s="69"/>
      <c r="E270" s="69"/>
      <c r="F270" s="69"/>
      <c r="G270" s="69"/>
      <c r="H270" s="4"/>
      <c r="I270" s="69"/>
      <c r="J270" s="69"/>
      <c r="K270" s="71">
        <f ca="1">SUM(K267:K269)</f>
        <v>313.68842044632839</v>
      </c>
      <c r="L270" s="71">
        <f ca="1">SUM(L267:L269)</f>
        <v>225.91463196192365</v>
      </c>
      <c r="M270" s="71">
        <f ca="1">SUM(M267:M269)</f>
        <v>120.88850915452724</v>
      </c>
      <c r="N270" s="71">
        <f ca="1">SUM(N267:N269)</f>
        <v>0</v>
      </c>
      <c r="O270" s="71">
        <f ca="1">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 ca="1">+AVERAGE(K267,K270)</f>
        <v>351.5308802231641</v>
      </c>
      <c r="L272" s="16">
        <f ca="1">+AVERAGE(L267,L270)</f>
        <v>269.80152620412605</v>
      </c>
      <c r="M272" s="16">
        <f ca="1">+AVERAGE(M267,M270)</f>
        <v>173.40157055822544</v>
      </c>
      <c r="N272" s="16">
        <f ca="1">+AVERAGE(N267,N270)</f>
        <v>60.444254577263621</v>
      </c>
      <c r="O272" s="16">
        <f ca="1">+AVERAGE(O267,O270)</f>
        <v>0</v>
      </c>
    </row>
    <row r="273" spans="2:15"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f ca="1">+IF($E$5=1,K272,0)*K273</f>
        <v>19.334198412274027</v>
      </c>
      <c r="L274" s="54">
        <f ca="1">+IF($E$5=1,L272,0)*L273</f>
        <v>14.839083941226935</v>
      </c>
      <c r="M274" s="54">
        <f ca="1">+IF($E$5=1,M272,0)*M273</f>
        <v>9.5370863807024016</v>
      </c>
      <c r="N274" s="54">
        <f ca="1">+IF($E$5=1,N272,0)*N273</f>
        <v>3.3244340017494998</v>
      </c>
      <c r="O274" s="54">
        <f ca="1">+IF($E$5=1,O272,0)*O273</f>
        <v>0</v>
      </c>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20">
        <f>+J161</f>
        <v>194.68666999999994</v>
      </c>
      <c r="L278" s="54">
        <f ca="1">+K281</f>
        <v>210.91055916666659</v>
      </c>
      <c r="M278" s="54">
        <f t="shared" ref="M278:O278" ca="1" si="22">+L281</f>
        <v>228.48643909722213</v>
      </c>
      <c r="N278" s="54">
        <f t="shared" ca="1" si="22"/>
        <v>247.5269756886573</v>
      </c>
      <c r="O278" s="54">
        <f t="shared" ca="1" si="22"/>
        <v>264.78033587676589</v>
      </c>
    </row>
    <row r="279" spans="2:15" s="4" customFormat="1" ht="12.95" customHeight="1" x14ac:dyDescent="0.2">
      <c r="B279" s="4" t="s">
        <v>109</v>
      </c>
      <c r="K279" s="222">
        <f ca="1">+IF($E$5=1,K283,0)*K284*$I$283</f>
        <v>16.223889166666662</v>
      </c>
      <c r="L279" s="62">
        <f ca="1">+IF($E$5=1,L283,0)*L284*$I$283</f>
        <v>17.575879930555548</v>
      </c>
      <c r="M279" s="62">
        <f ca="1">+IF($E$5=1,M283,0)*M284*$I$283</f>
        <v>19.040536591435178</v>
      </c>
      <c r="N279" s="62">
        <f ca="1">+IF($E$5=1,N283,0)*N284*$I$283</f>
        <v>20.49229246261693</v>
      </c>
      <c r="O279" s="62">
        <f ca="1">+IF($E$5=1,O283,0)*O284*$I$283</f>
        <v>16.195162976154954</v>
      </c>
    </row>
    <row r="280" spans="2:15" s="4" customFormat="1" ht="12.95" customHeight="1" x14ac:dyDescent="0.2">
      <c r="B280" s="3" t="s">
        <v>89</v>
      </c>
      <c r="C280" s="3"/>
      <c r="D280" s="3"/>
      <c r="E280" s="3"/>
      <c r="F280" s="3"/>
      <c r="G280" s="3"/>
      <c r="H280" s="3"/>
      <c r="I280" s="3"/>
      <c r="J280" s="3"/>
      <c r="K280" s="66">
        <f ca="1">-MIN(SUM(K278:K279),SUM(K238:K242))</f>
        <v>0</v>
      </c>
      <c r="L280" s="66">
        <f ca="1">-MIN(SUM(L278:L279),SUM(L238:L242))</f>
        <v>0</v>
      </c>
      <c r="M280" s="66">
        <f ca="1">-MIN(SUM(M278:M279),SUM(M238:M242))</f>
        <v>0</v>
      </c>
      <c r="N280" s="66">
        <f ca="1">-MIN(SUM(N278:N279),SUM(N238:N242))</f>
        <v>-3.2389322745083291</v>
      </c>
      <c r="O280" s="66">
        <f ca="1">-MIN(SUM(O278:O279),SUM(O238:O242))</f>
        <v>-140.87676032581294</v>
      </c>
    </row>
    <row r="281" spans="2:15" s="4" customFormat="1" ht="12.95" customHeight="1" x14ac:dyDescent="0.2">
      <c r="B281" s="69" t="s">
        <v>192</v>
      </c>
      <c r="C281" s="69"/>
      <c r="D281" s="69"/>
      <c r="E281" s="69"/>
      <c r="F281" s="69"/>
      <c r="G281" s="69"/>
      <c r="I281" s="69"/>
      <c r="J281" s="69"/>
      <c r="K281" s="71">
        <f ca="1">SUM(K278:K280)</f>
        <v>210.91055916666659</v>
      </c>
      <c r="L281" s="71">
        <f ca="1">SUM(L278:L280)</f>
        <v>228.48643909722213</v>
      </c>
      <c r="M281" s="71">
        <f ca="1">SUM(M278:M280)</f>
        <v>247.5269756886573</v>
      </c>
      <c r="N281" s="71">
        <f ca="1">SUM(N278:N280)</f>
        <v>264.78033587676589</v>
      </c>
      <c r="O281" s="71">
        <f ca="1">SUM(O278:O280)</f>
        <v>140.09873852710791</v>
      </c>
    </row>
    <row r="282" spans="2:15" ht="12.95" customHeight="1" x14ac:dyDescent="0.2">
      <c r="B282" s="69"/>
      <c r="C282" s="69"/>
      <c r="D282" s="69"/>
      <c r="E282" s="69"/>
      <c r="F282" s="69"/>
      <c r="G282" s="69"/>
      <c r="H282" s="4"/>
      <c r="I282" s="69"/>
      <c r="J282" s="69"/>
      <c r="K282" s="154"/>
      <c r="L282" s="154"/>
      <c r="M282" s="154"/>
      <c r="N282" s="154"/>
      <c r="O282" s="154"/>
    </row>
    <row r="283" spans="2:15" ht="12.95" customHeight="1" x14ac:dyDescent="0.2">
      <c r="B283" s="1" t="s">
        <v>91</v>
      </c>
      <c r="G283" s="1" t="s">
        <v>110</v>
      </c>
      <c r="I283" s="223">
        <v>1</v>
      </c>
      <c r="K283" s="16">
        <f ca="1">+AVERAGE(K278,K281)</f>
        <v>202.79861458333326</v>
      </c>
      <c r="L283" s="16">
        <f ca="1">+AVERAGE(L278,L281)</f>
        <v>219.69849913194435</v>
      </c>
      <c r="M283" s="16">
        <f ca="1">+AVERAGE(M278,M281)</f>
        <v>238.00670739293972</v>
      </c>
      <c r="N283" s="16">
        <f ca="1">+AVERAGE(N278,N281)</f>
        <v>256.15365578271161</v>
      </c>
      <c r="O283" s="16">
        <f ca="1">+AVERAGE(O278,O281)</f>
        <v>202.4395372019369</v>
      </c>
    </row>
    <row r="284" spans="2:15"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f ca="1">+IF($E$5=1,K283,0)*K284*(1-$I$283)</f>
        <v>0</v>
      </c>
      <c r="L285" s="54">
        <f ca="1">+IF($E$5=1,L283,0)*L284*(1-$I$283)</f>
        <v>0</v>
      </c>
      <c r="M285" s="54">
        <f ca="1">+IF($E$5=1,M283,0)*M284*(1-$I$283)</f>
        <v>0</v>
      </c>
      <c r="N285" s="54">
        <f ca="1">+IF($E$5=1,N283,0)*N284*(1-$I$283)</f>
        <v>0</v>
      </c>
      <c r="O285" s="54">
        <f ca="1">+IF($E$5=1,O283,0)*O284*(1-$I$283)</f>
        <v>0</v>
      </c>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5" s="4" customFormat="1" ht="12.95" customHeight="1" x14ac:dyDescent="0.2">
      <c r="B289" s="4" t="s">
        <v>93</v>
      </c>
      <c r="K289" s="215">
        <f>+J162</f>
        <v>486.71667499999984</v>
      </c>
      <c r="L289" s="54">
        <f ca="1">+K291</f>
        <v>486.71667499999984</v>
      </c>
      <c r="M289" s="54">
        <f ca="1">+L291</f>
        <v>486.71667499999984</v>
      </c>
      <c r="N289" s="54">
        <f ca="1">+M291</f>
        <v>486.71667499999984</v>
      </c>
      <c r="O289" s="54">
        <f ca="1">+N291</f>
        <v>486.71667499999984</v>
      </c>
    </row>
    <row r="290" spans="1:15" ht="12.95" customHeight="1" x14ac:dyDescent="0.2">
      <c r="B290" s="3" t="s">
        <v>98</v>
      </c>
      <c r="C290" s="3"/>
      <c r="D290" s="3"/>
      <c r="E290" s="3"/>
      <c r="F290" s="3"/>
      <c r="G290" s="3" t="s">
        <v>99</v>
      </c>
      <c r="H290" s="133"/>
      <c r="I290" s="224">
        <v>2026</v>
      </c>
      <c r="J290" s="3"/>
      <c r="K290" s="66">
        <f ca="1">-MIN(K289,SUM(K238:K243))*IF($I$290=K$250,1,0)</f>
        <v>0</v>
      </c>
      <c r="L290" s="66">
        <f t="shared" ref="L290:O290" ca="1" si="23">-MIN(L289,SUM(L238:L243))*IF($I$290=L$250,1,0)</f>
        <v>0</v>
      </c>
      <c r="M290" s="66">
        <f t="shared" ca="1" si="23"/>
        <v>0</v>
      </c>
      <c r="N290" s="66">
        <f t="shared" ca="1" si="23"/>
        <v>0</v>
      </c>
      <c r="O290" s="66">
        <f t="shared" ca="1" si="23"/>
        <v>0</v>
      </c>
    </row>
    <row r="291" spans="1:15" ht="12.95" customHeight="1" x14ac:dyDescent="0.2">
      <c r="B291" s="69" t="s">
        <v>192</v>
      </c>
      <c r="C291" s="69"/>
      <c r="D291" s="69"/>
      <c r="E291" s="69"/>
      <c r="F291" s="69"/>
      <c r="G291" s="69"/>
      <c r="H291" s="4"/>
      <c r="I291" s="69"/>
      <c r="J291" s="69"/>
      <c r="K291" s="71">
        <f ca="1">SUM(K289:K290)</f>
        <v>486.71667499999984</v>
      </c>
      <c r="L291" s="71">
        <f ca="1">SUM(L289:L290)</f>
        <v>486.71667499999984</v>
      </c>
      <c r="M291" s="71">
        <f ca="1">SUM(M289:M290)</f>
        <v>486.71667499999984</v>
      </c>
      <c r="N291" s="71">
        <f ca="1">SUM(N289:N290)</f>
        <v>486.71667499999984</v>
      </c>
      <c r="O291" s="71">
        <f ca="1">SUM(O289:O290)</f>
        <v>486.71667499999984</v>
      </c>
    </row>
    <row r="292" spans="1:15" ht="12.95" customHeight="1" x14ac:dyDescent="0.2">
      <c r="B292" s="69"/>
      <c r="C292" s="69"/>
      <c r="D292" s="69"/>
      <c r="E292" s="69"/>
      <c r="F292" s="69"/>
      <c r="G292" s="69"/>
      <c r="H292" s="4"/>
      <c r="I292" s="69"/>
      <c r="J292" s="69"/>
      <c r="K292" s="69"/>
      <c r="L292" s="69"/>
      <c r="M292" s="69"/>
      <c r="N292" s="69"/>
      <c r="O292" s="69"/>
    </row>
    <row r="293" spans="1:15" ht="12.95" customHeight="1" x14ac:dyDescent="0.2">
      <c r="B293" s="1" t="s">
        <v>91</v>
      </c>
      <c r="K293" s="16">
        <f ca="1">+AVERAGE(K289,K291)</f>
        <v>486.71667499999984</v>
      </c>
      <c r="L293" s="16">
        <f ca="1">+AVERAGE(L289,L291)</f>
        <v>486.71667499999984</v>
      </c>
      <c r="M293" s="16">
        <f ca="1">+AVERAGE(M289,M291)</f>
        <v>486.71667499999984</v>
      </c>
      <c r="N293" s="16">
        <f ca="1">+AVERAGE(N289,N291)</f>
        <v>486.71667499999984</v>
      </c>
      <c r="O293" s="16">
        <f ca="1">+AVERAGE(O289,O291)</f>
        <v>486.71667499999984</v>
      </c>
    </row>
    <row r="294" spans="1:15" s="4" customFormat="1" ht="12.95" customHeight="1" x14ac:dyDescent="0.2">
      <c r="B294" s="4" t="s">
        <v>21</v>
      </c>
      <c r="G294" s="4" t="s">
        <v>111</v>
      </c>
      <c r="I294" s="225">
        <v>0.1</v>
      </c>
      <c r="K294" s="54">
        <f ca="1">+IF($E$5=1,K293,0)*$I$294</f>
        <v>48.671667499999984</v>
      </c>
      <c r="L294" s="54">
        <f ca="1">+IF($E$5=1,L293,0)*$I$294</f>
        <v>48.671667499999984</v>
      </c>
      <c r="M294" s="54">
        <f ca="1">+IF($E$5=1,M293,0)*$I$294</f>
        <v>48.671667499999984</v>
      </c>
      <c r="N294" s="54">
        <f ca="1">+IF($E$5=1,N293,0)*$I$294</f>
        <v>48.671667499999984</v>
      </c>
      <c r="O294" s="54">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206"/>
      <c r="M299" s="206"/>
      <c r="N299" s="206"/>
      <c r="O299" s="206"/>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54">
        <f>+J139</f>
        <v>0</v>
      </c>
      <c r="L301" s="54">
        <f ca="1">+K139</f>
        <v>5</v>
      </c>
      <c r="M301" s="54">
        <f ca="1">+L139</f>
        <v>5</v>
      </c>
      <c r="N301" s="54">
        <f ca="1">+M139</f>
        <v>5</v>
      </c>
      <c r="O301" s="54">
        <f ca="1">+N139</f>
        <v>5</v>
      </c>
    </row>
    <row r="302" spans="1:15" s="4" customFormat="1" ht="12.95" customHeight="1" x14ac:dyDescent="0.2">
      <c r="B302" s="3" t="s">
        <v>106</v>
      </c>
      <c r="C302" s="3"/>
      <c r="D302" s="3"/>
      <c r="E302" s="3"/>
      <c r="F302" s="3"/>
      <c r="G302" s="3"/>
      <c r="H302" s="3"/>
      <c r="I302" s="3"/>
      <c r="J302" s="3"/>
      <c r="K302" s="66">
        <f ca="1">+K303-K301</f>
        <v>5</v>
      </c>
      <c r="L302" s="66">
        <f ca="1">+L303-L301</f>
        <v>0</v>
      </c>
      <c r="M302" s="66">
        <f ca="1">+M303-M301</f>
        <v>0</v>
      </c>
      <c r="N302" s="66">
        <f ca="1">+N303-N301</f>
        <v>0</v>
      </c>
      <c r="O302" s="66">
        <f ca="1">+O303-O301</f>
        <v>0</v>
      </c>
    </row>
    <row r="303" spans="1:15" s="69" customFormat="1" ht="12.95" customHeight="1" x14ac:dyDescent="0.2">
      <c r="B303" s="69" t="s">
        <v>192</v>
      </c>
      <c r="K303" s="71">
        <f ca="1">+K139</f>
        <v>5</v>
      </c>
      <c r="L303" s="71">
        <f ca="1">+L139</f>
        <v>5</v>
      </c>
      <c r="M303" s="71">
        <f ca="1">+M139</f>
        <v>5</v>
      </c>
      <c r="N303" s="71">
        <f ca="1">+N139</f>
        <v>5</v>
      </c>
      <c r="O303" s="71">
        <f ca="1">+O139</f>
        <v>5</v>
      </c>
    </row>
    <row r="304" spans="1:15" s="4" customFormat="1" ht="12.95" customHeight="1" x14ac:dyDescent="0.2"/>
    <row r="305" spans="1:15" ht="12.95" customHeight="1" x14ac:dyDescent="0.2">
      <c r="B305" s="4" t="s">
        <v>91</v>
      </c>
      <c r="C305" s="4"/>
      <c r="D305" s="4"/>
      <c r="E305" s="4"/>
      <c r="F305" s="4"/>
      <c r="G305" s="4"/>
      <c r="H305" s="4"/>
      <c r="I305" s="4"/>
      <c r="J305" s="4"/>
      <c r="K305" s="35">
        <f ca="1">+AVERAGE(K301,K303)</f>
        <v>2.5</v>
      </c>
      <c r="L305" s="35">
        <f ca="1">+AVERAGE(L301,L303)</f>
        <v>5</v>
      </c>
      <c r="M305" s="35">
        <f ca="1">+AVERAGE(M301,M303)</f>
        <v>5</v>
      </c>
      <c r="N305" s="35">
        <f ca="1">+AVERAGE(N301,N303)</f>
        <v>5</v>
      </c>
      <c r="O305" s="35">
        <f ca="1">+AVERAGE(O301,O303)</f>
        <v>5</v>
      </c>
    </row>
    <row r="306" spans="1:15" ht="12.95" customHeight="1" x14ac:dyDescent="0.2">
      <c r="B306" s="1" t="s">
        <v>107</v>
      </c>
      <c r="G306" s="85" t="s">
        <v>193</v>
      </c>
      <c r="H306" s="4"/>
      <c r="I306" s="225">
        <v>0.01</v>
      </c>
      <c r="K306" s="15">
        <f ca="1">+IF($E$5=1,K305,0)*$I$306</f>
        <v>2.5000000000000001E-2</v>
      </c>
      <c r="L306" s="15">
        <f ca="1">+IF($E$5=1,L305,0)*$I$306</f>
        <v>0.05</v>
      </c>
      <c r="M306" s="15">
        <f ca="1">+IF($E$5=1,M305,0)*$I$306</f>
        <v>0.05</v>
      </c>
      <c r="N306" s="15">
        <f ca="1">+IF($E$5=1,N305,0)*$I$306</f>
        <v>0.05</v>
      </c>
      <c r="O306" s="15">
        <f ca="1">+IF($E$5=1,O305,0)*$I$306</f>
        <v>0.05</v>
      </c>
    </row>
    <row r="307" spans="1:15" s="4" customFormat="1" ht="12.95" customHeight="1" x14ac:dyDescent="0.2">
      <c r="B307" s="3"/>
      <c r="C307" s="3"/>
      <c r="D307" s="3"/>
      <c r="E307" s="3"/>
      <c r="F307" s="3"/>
      <c r="G307" s="3"/>
      <c r="H307" s="3"/>
      <c r="I307" s="3"/>
      <c r="J307" s="3"/>
      <c r="K307" s="3"/>
      <c r="L307" s="3"/>
      <c r="M307" s="3"/>
      <c r="N307" s="3"/>
      <c r="O307" s="3"/>
    </row>
    <row r="309" spans="1:15" ht="12.95" customHeight="1" x14ac:dyDescent="0.2">
      <c r="B309" s="1" t="s">
        <v>197</v>
      </c>
    </row>
    <row r="310" spans="1:15" ht="12.95" customHeight="1" x14ac:dyDescent="0.2">
      <c r="B310" s="1" t="str">
        <f>+B253&amp;" - Commitment Fee"</f>
        <v>Revolving Credit Facility - Commitment Fee</v>
      </c>
      <c r="K310" s="15">
        <f ca="1">+K261</f>
        <v>0.25</v>
      </c>
      <c r="L310" s="15">
        <f ca="1">+L261</f>
        <v>0.25</v>
      </c>
      <c r="M310" s="15">
        <f ca="1">+M261</f>
        <v>0.25</v>
      </c>
      <c r="N310" s="15">
        <f ca="1">+N261</f>
        <v>0.25</v>
      </c>
      <c r="O310" s="15">
        <f ca="1">+O261</f>
        <v>0.25</v>
      </c>
    </row>
    <row r="311" spans="1:15" ht="12.95" customHeight="1" x14ac:dyDescent="0.2">
      <c r="B311" s="1" t="str">
        <f>+B253&amp;" - Drawn Interest Expense"</f>
        <v>Revolving Credit Facility - Drawn Interest Expense</v>
      </c>
      <c r="K311" s="16">
        <f ca="1">+K260</f>
        <v>0</v>
      </c>
      <c r="L311" s="16">
        <f ca="1">+L260</f>
        <v>0</v>
      </c>
      <c r="M311" s="16">
        <f ca="1">+M260</f>
        <v>0</v>
      </c>
      <c r="N311" s="16">
        <f ca="1">+N260</f>
        <v>0</v>
      </c>
      <c r="O311" s="16">
        <f ca="1">+O260</f>
        <v>0</v>
      </c>
    </row>
    <row r="312" spans="1:15" ht="12.95" customHeight="1" x14ac:dyDescent="0.2">
      <c r="B312" s="1" t="str">
        <f>+B266</f>
        <v>First Lien Term Loan</v>
      </c>
      <c r="K312" s="16">
        <f ca="1">+K274</f>
        <v>19.334198412274027</v>
      </c>
      <c r="L312" s="16">
        <f ca="1">+L274</f>
        <v>14.839083941226935</v>
      </c>
      <c r="M312" s="16">
        <f ca="1">+M274</f>
        <v>9.5370863807024016</v>
      </c>
      <c r="N312" s="16">
        <f ca="1">+N274</f>
        <v>3.3244340017494998</v>
      </c>
      <c r="O312" s="16">
        <f ca="1">+O274</f>
        <v>0</v>
      </c>
    </row>
    <row r="313" spans="1:15" ht="12.95" customHeight="1" x14ac:dyDescent="0.2">
      <c r="B313" s="1" t="str">
        <f>+B277</f>
        <v>Second Lien Term Loan</v>
      </c>
      <c r="K313" s="16">
        <f ca="1">+K285</f>
        <v>0</v>
      </c>
      <c r="L313" s="16">
        <f ca="1">+L285</f>
        <v>0</v>
      </c>
      <c r="M313" s="16">
        <f ca="1">+M285</f>
        <v>0</v>
      </c>
      <c r="N313" s="16">
        <f ca="1">+N285</f>
        <v>0</v>
      </c>
      <c r="O313" s="16">
        <f ca="1">+O285</f>
        <v>0</v>
      </c>
    </row>
    <row r="314" spans="1:15" ht="12.95" customHeight="1" x14ac:dyDescent="0.2">
      <c r="B314" s="4" t="str">
        <f>+B288</f>
        <v>Notes</v>
      </c>
      <c r="C314" s="4"/>
      <c r="D314" s="4"/>
      <c r="E314" s="4"/>
      <c r="F314" s="4"/>
      <c r="G314" s="4"/>
      <c r="H314" s="4"/>
      <c r="I314" s="4"/>
      <c r="J314" s="4"/>
      <c r="K314" s="35">
        <f ca="1">+K294</f>
        <v>48.671667499999984</v>
      </c>
      <c r="L314" s="35">
        <f ca="1">+L294</f>
        <v>48.671667499999984</v>
      </c>
      <c r="M314" s="35">
        <f ca="1">+M294</f>
        <v>48.671667499999984</v>
      </c>
      <c r="N314" s="35">
        <f ca="1">+N294</f>
        <v>48.671667499999984</v>
      </c>
      <c r="O314" s="35">
        <f ca="1">+O294</f>
        <v>48.671667499999984</v>
      </c>
    </row>
    <row r="315" spans="1:15" ht="12.95" customHeight="1" x14ac:dyDescent="0.2">
      <c r="B315" s="226" t="s">
        <v>112</v>
      </c>
      <c r="C315" s="226"/>
      <c r="D315" s="226"/>
      <c r="E315" s="226"/>
      <c r="F315" s="226"/>
      <c r="G315" s="226"/>
      <c r="H315" s="226"/>
      <c r="I315" s="226"/>
      <c r="J315" s="226"/>
      <c r="K315" s="37">
        <f ca="1">SUM(K310:K314)</f>
        <v>68.255865912274004</v>
      </c>
      <c r="L315" s="37">
        <f ca="1">SUM(L310:L314)</f>
        <v>63.760751441226915</v>
      </c>
      <c r="M315" s="37">
        <f ca="1">SUM(M310:M314)</f>
        <v>58.458753880702389</v>
      </c>
      <c r="N315" s="37">
        <f ca="1">SUM(N310:N314)</f>
        <v>52.246101501749486</v>
      </c>
      <c r="O315" s="37">
        <f ca="1">SUM(O310:O314)</f>
        <v>48.921667499999984</v>
      </c>
    </row>
    <row r="316" spans="1:15" ht="12.95" customHeight="1" x14ac:dyDescent="0.2">
      <c r="B316" s="3" t="s">
        <v>113</v>
      </c>
      <c r="C316" s="3"/>
      <c r="D316" s="3"/>
      <c r="E316" s="3"/>
      <c r="F316" s="3"/>
      <c r="G316" s="3"/>
      <c r="H316" s="3"/>
      <c r="I316" s="3"/>
      <c r="J316" s="3"/>
      <c r="K316" s="62">
        <f ca="1">+K279</f>
        <v>16.223889166666662</v>
      </c>
      <c r="L316" s="62">
        <f t="shared" ref="L316:O316" ca="1" si="24">+L279</f>
        <v>17.575879930555548</v>
      </c>
      <c r="M316" s="62">
        <f t="shared" ca="1" si="24"/>
        <v>19.040536591435178</v>
      </c>
      <c r="N316" s="62">
        <f t="shared" ca="1" si="24"/>
        <v>20.49229246261693</v>
      </c>
      <c r="O316" s="62">
        <f t="shared" ca="1" si="24"/>
        <v>16.195162976154954</v>
      </c>
    </row>
    <row r="317" spans="1:15" s="76" customFormat="1" ht="12.95" customHeight="1" x14ac:dyDescent="0.2">
      <c r="B317" s="69" t="s">
        <v>108</v>
      </c>
      <c r="C317" s="69"/>
      <c r="D317" s="69"/>
      <c r="E317" s="69"/>
      <c r="F317" s="69"/>
      <c r="G317" s="69"/>
      <c r="H317" s="69"/>
      <c r="I317" s="69"/>
      <c r="J317" s="69"/>
      <c r="K317" s="96">
        <f ca="1">+SUM(K315:K316)</f>
        <v>84.47975507894067</v>
      </c>
      <c r="L317" s="96">
        <f ca="1">+SUM(L315:L316)</f>
        <v>81.33663137178246</v>
      </c>
      <c r="M317" s="96">
        <f ca="1">+SUM(M315:M316)</f>
        <v>77.499290472137574</v>
      </c>
      <c r="N317" s="96">
        <f ca="1">+SUM(N315:N316)</f>
        <v>72.738393964366423</v>
      </c>
      <c r="O317" s="96">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9" ht="12.95" customHeight="1" x14ac:dyDescent="0.35">
      <c r="K321" s="10" t="str">
        <f>+$K$32</f>
        <v>Fiscal Year Ended 12/31</v>
      </c>
      <c r="L321" s="11"/>
      <c r="M321" s="11"/>
      <c r="N321" s="11"/>
      <c r="O321" s="11"/>
    </row>
    <row r="322" spans="2:19" ht="12.95" customHeight="1" x14ac:dyDescent="0.2">
      <c r="K322" s="13">
        <f>+K138</f>
        <v>2020</v>
      </c>
      <c r="L322" s="13">
        <f>+K322+1</f>
        <v>2021</v>
      </c>
      <c r="M322" s="13">
        <f>+L322+1</f>
        <v>2022</v>
      </c>
      <c r="N322" s="13">
        <f>+M322+1</f>
        <v>2023</v>
      </c>
      <c r="O322" s="13">
        <f>+N322+1</f>
        <v>2024</v>
      </c>
    </row>
    <row r="323" spans="2:19" ht="12.95" customHeight="1" x14ac:dyDescent="0.2">
      <c r="B323" s="1" t="s">
        <v>35</v>
      </c>
      <c r="K323" s="54"/>
      <c r="L323" s="54"/>
      <c r="M323" s="54"/>
      <c r="N323" s="54"/>
      <c r="O323" s="54"/>
      <c r="Q323" s="267" t="s">
        <v>285</v>
      </c>
    </row>
    <row r="324" spans="2:19" ht="12.95" customHeight="1" x14ac:dyDescent="0.2">
      <c r="B324" s="4" t="s">
        <v>200</v>
      </c>
      <c r="C324" s="4"/>
      <c r="D324" s="4"/>
      <c r="E324" s="4"/>
      <c r="F324" s="4"/>
      <c r="G324" s="4"/>
      <c r="H324" s="4"/>
      <c r="I324" s="4"/>
      <c r="J324" s="4"/>
      <c r="K324" s="253"/>
      <c r="L324" s="253"/>
      <c r="M324" s="253"/>
      <c r="N324" s="253"/>
      <c r="O324" s="253"/>
      <c r="Q324" s="267" t="s">
        <v>286</v>
      </c>
    </row>
    <row r="325" spans="2:19" ht="12.95" customHeight="1" x14ac:dyDescent="0.2">
      <c r="B325" s="226" t="s">
        <v>201</v>
      </c>
      <c r="C325" s="226"/>
      <c r="D325" s="226"/>
      <c r="E325" s="226"/>
      <c r="F325" s="226"/>
      <c r="G325" s="226"/>
      <c r="H325" s="226"/>
      <c r="I325" s="226"/>
      <c r="J325" s="226"/>
      <c r="K325" s="37"/>
      <c r="L325" s="37"/>
      <c r="M325" s="37"/>
      <c r="N325" s="37"/>
      <c r="O325" s="37"/>
      <c r="Q325" s="267" t="s">
        <v>287</v>
      </c>
    </row>
    <row r="326" spans="2:19" ht="12.95" customHeight="1" x14ac:dyDescent="0.2">
      <c r="B326" s="1" t="s">
        <v>202</v>
      </c>
      <c r="K326" s="16"/>
      <c r="L326" s="16"/>
      <c r="M326" s="16"/>
      <c r="N326" s="16"/>
      <c r="O326" s="16"/>
      <c r="Q326" s="267" t="s">
        <v>288</v>
      </c>
    </row>
    <row r="327" spans="2:19" ht="12.95" customHeight="1" x14ac:dyDescent="0.2">
      <c r="B327" s="4" t="s">
        <v>203</v>
      </c>
      <c r="C327" s="4"/>
      <c r="D327" s="4"/>
      <c r="E327" s="4"/>
      <c r="F327" s="4"/>
      <c r="G327" s="4"/>
      <c r="H327" s="4"/>
      <c r="I327" s="4"/>
      <c r="J327" s="4"/>
      <c r="K327" s="35"/>
      <c r="L327" s="35"/>
      <c r="M327" s="35"/>
      <c r="N327" s="35"/>
      <c r="O327" s="35"/>
      <c r="Q327" s="267" t="s">
        <v>289</v>
      </c>
    </row>
    <row r="328" spans="2:19" ht="12.95" customHeight="1" x14ac:dyDescent="0.2">
      <c r="B328" s="226" t="s">
        <v>339</v>
      </c>
      <c r="C328" s="226"/>
      <c r="D328" s="226"/>
      <c r="E328" s="226"/>
      <c r="F328" s="226"/>
      <c r="G328" s="226"/>
      <c r="H328" s="226"/>
      <c r="I328" s="226"/>
      <c r="J328" s="226"/>
      <c r="K328" s="37"/>
      <c r="L328" s="37"/>
      <c r="M328" s="37"/>
      <c r="N328" s="37"/>
      <c r="O328" s="37"/>
      <c r="Q328" s="267" t="s">
        <v>334</v>
      </c>
    </row>
    <row r="329" spans="2:19" ht="12.95" customHeight="1" x14ac:dyDescent="0.2">
      <c r="B329" s="3" t="s">
        <v>336</v>
      </c>
      <c r="C329" s="3"/>
      <c r="D329" s="3"/>
      <c r="E329" s="3"/>
      <c r="F329" s="3"/>
      <c r="G329" s="3"/>
      <c r="H329" s="3"/>
      <c r="I329" s="3"/>
      <c r="J329" s="3"/>
      <c r="K329" s="66"/>
      <c r="L329" s="66"/>
      <c r="M329" s="66"/>
      <c r="N329" s="66"/>
      <c r="O329" s="66"/>
      <c r="Q329" s="267" t="s">
        <v>335</v>
      </c>
    </row>
    <row r="330" spans="2:19" ht="12.95" customHeight="1" x14ac:dyDescent="0.2">
      <c r="B330" s="69" t="s">
        <v>207</v>
      </c>
      <c r="C330" s="69"/>
      <c r="D330" s="69"/>
      <c r="E330" s="69"/>
      <c r="F330" s="69"/>
      <c r="G330" s="69"/>
      <c r="H330" s="69"/>
      <c r="I330" s="69"/>
      <c r="J330" s="69"/>
      <c r="K330" s="71"/>
      <c r="L330" s="71"/>
      <c r="M330" s="71"/>
      <c r="N330" s="71"/>
      <c r="O330" s="71"/>
      <c r="Q330" s="267" t="s">
        <v>337</v>
      </c>
    </row>
    <row r="332" spans="2:19" ht="12.95" customHeight="1" x14ac:dyDescent="0.2">
      <c r="F332" s="1" t="s">
        <v>205</v>
      </c>
      <c r="J332" s="250"/>
      <c r="K332" s="15"/>
      <c r="L332" s="15"/>
      <c r="M332" s="15"/>
      <c r="N332" s="15"/>
      <c r="O332" s="15"/>
      <c r="Q332" s="267" t="s">
        <v>338</v>
      </c>
    </row>
    <row r="334" spans="2:19" ht="12.95" customHeight="1" x14ac:dyDescent="0.2">
      <c r="F334" s="1" t="s">
        <v>208</v>
      </c>
      <c r="K334" s="254"/>
      <c r="L334" s="254"/>
      <c r="M334" s="254"/>
      <c r="N334" s="254"/>
      <c r="O334" s="254"/>
      <c r="Q334" s="267" t="s">
        <v>290</v>
      </c>
    </row>
    <row r="335" spans="2:19" customFormat="1" ht="3" customHeight="1" x14ac:dyDescent="0.25">
      <c r="Q335" s="1"/>
      <c r="R335" s="1"/>
      <c r="S335" s="1"/>
    </row>
    <row r="336" spans="2:19" ht="12.95" customHeight="1" x14ac:dyDescent="0.2">
      <c r="J336" s="26" t="s">
        <v>183</v>
      </c>
    </row>
    <row r="337" spans="6:18" ht="12.95" customHeight="1" x14ac:dyDescent="0.2">
      <c r="G337" s="29" t="s">
        <v>210</v>
      </c>
      <c r="H337" s="29" t="s">
        <v>209</v>
      </c>
      <c r="J337" s="26" t="s">
        <v>212</v>
      </c>
    </row>
    <row r="338" spans="6:18" ht="12.95" customHeight="1" x14ac:dyDescent="0.2">
      <c r="F338" s="252">
        <f t="array" ref="F338:F342">+TRANSPOSE(K322:O322)</f>
        <v>2020</v>
      </c>
      <c r="G338" s="258"/>
      <c r="H338" s="259"/>
      <c r="J338" s="255"/>
      <c r="K338" s="256"/>
      <c r="L338" s="256"/>
      <c r="M338" s="256"/>
      <c r="N338" s="256"/>
      <c r="O338" s="257"/>
      <c r="Q338" s="267" t="s">
        <v>340</v>
      </c>
    </row>
    <row r="339" spans="6:18" ht="12.95" customHeight="1" x14ac:dyDescent="0.2">
      <c r="F339" s="252">
        <v>2021</v>
      </c>
      <c r="G339" s="258"/>
      <c r="H339" s="259"/>
      <c r="J339" s="104"/>
      <c r="K339" s="16"/>
      <c r="L339" s="16"/>
      <c r="M339" s="16"/>
      <c r="N339" s="16"/>
      <c r="O339" s="236"/>
      <c r="R339" s="266" t="s">
        <v>291</v>
      </c>
    </row>
    <row r="340" spans="6:18" ht="12.95" customHeight="1" x14ac:dyDescent="0.2">
      <c r="F340" s="252">
        <v>2022</v>
      </c>
      <c r="G340" s="258"/>
      <c r="H340" s="259"/>
      <c r="J340" s="104"/>
      <c r="K340" s="16"/>
      <c r="L340" s="16"/>
      <c r="M340" s="16"/>
      <c r="N340" s="16"/>
      <c r="O340" s="236"/>
      <c r="R340" s="266" t="s">
        <v>341</v>
      </c>
    </row>
    <row r="341" spans="6:18" ht="12.95" customHeight="1" x14ac:dyDescent="0.2">
      <c r="F341" s="252">
        <v>2023</v>
      </c>
      <c r="G341" s="258"/>
      <c r="H341" s="259"/>
      <c r="J341" s="104"/>
      <c r="K341" s="16"/>
      <c r="L341" s="16"/>
      <c r="M341" s="16"/>
      <c r="N341" s="16"/>
      <c r="O341" s="236"/>
      <c r="R341" s="266" t="s">
        <v>292</v>
      </c>
    </row>
    <row r="342" spans="6:18" ht="12.95" customHeight="1" x14ac:dyDescent="0.2">
      <c r="F342" s="252">
        <v>2024</v>
      </c>
      <c r="G342" s="258"/>
      <c r="H342" s="259"/>
      <c r="J342" s="105"/>
      <c r="K342" s="66"/>
      <c r="L342" s="66"/>
      <c r="M342" s="66"/>
      <c r="N342" s="66"/>
      <c r="O342" s="237"/>
      <c r="R342" s="266" t="s">
        <v>342</v>
      </c>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8FAE-0951-44AB-8D63-06290939ADBE}">
  <dimension ref="A2:X342"/>
  <sheetViews>
    <sheetView showGridLines="0" topLeftCell="A53" zoomScale="85" zoomScaleNormal="85" zoomScaleSheetLayoutView="85" workbookViewId="0">
      <selection activeCell="A53" sqref="A53"/>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141">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271"/>
      <c r="K59" s="71"/>
      <c r="L59" s="71"/>
      <c r="M59" s="71"/>
      <c r="N59" s="71"/>
      <c r="O59" s="71"/>
    </row>
    <row r="60" spans="1:15" s="78" customFormat="1" ht="12.95" customHeight="1" x14ac:dyDescent="0.2">
      <c r="B60" s="268" t="s">
        <v>294</v>
      </c>
      <c r="I60" s="79"/>
      <c r="J60" s="272"/>
      <c r="K60" s="269"/>
      <c r="L60" s="79"/>
      <c r="M60" s="79"/>
      <c r="N60" s="79"/>
      <c r="O60" s="79"/>
    </row>
    <row r="61" spans="1:15" ht="12.95" customHeight="1" x14ac:dyDescent="0.2">
      <c r="B61" s="76" t="s">
        <v>160</v>
      </c>
      <c r="C61" s="76"/>
      <c r="D61" s="76"/>
      <c r="E61" s="76"/>
      <c r="F61" s="76"/>
      <c r="G61" s="76"/>
      <c r="H61" s="31"/>
      <c r="I61" s="31"/>
      <c r="J61" s="271"/>
      <c r="K61" s="71"/>
      <c r="L61" s="31"/>
      <c r="M61" s="31"/>
      <c r="N61" s="31"/>
      <c r="O61" s="31"/>
    </row>
    <row r="62" spans="1:15" s="78" customFormat="1" ht="12.95" customHeight="1" x14ac:dyDescent="0.2">
      <c r="B62" s="268" t="s">
        <v>295</v>
      </c>
      <c r="H62" s="79"/>
      <c r="I62" s="79"/>
      <c r="J62" s="272"/>
      <c r="K62" s="269"/>
      <c r="L62" s="79"/>
      <c r="M62" s="79"/>
      <c r="N62" s="79"/>
      <c r="O62" s="79"/>
    </row>
    <row r="63" spans="1:15" ht="12.95" customHeight="1" x14ac:dyDescent="0.2">
      <c r="J63" s="131"/>
      <c r="K63" s="4"/>
    </row>
    <row r="64" spans="1:15" ht="12.95" customHeight="1" x14ac:dyDescent="0.2">
      <c r="B64" s="1" t="s">
        <v>162</v>
      </c>
      <c r="J64" s="131"/>
      <c r="K64" s="54"/>
      <c r="L64" s="15"/>
      <c r="M64" s="15"/>
      <c r="N64" s="15"/>
      <c r="O64" s="15"/>
    </row>
    <row r="65" spans="2:15" ht="12.95" customHeight="1" x14ac:dyDescent="0.2">
      <c r="B65" s="1" t="s">
        <v>71</v>
      </c>
      <c r="J65" s="131"/>
      <c r="K65" s="54"/>
      <c r="L65" s="15"/>
      <c r="M65" s="15"/>
      <c r="N65" s="15"/>
      <c r="O65" s="15"/>
    </row>
    <row r="66" spans="2:15" s="78" customFormat="1" ht="12.95" customHeight="1" x14ac:dyDescent="0.2">
      <c r="B66" s="268" t="s">
        <v>293</v>
      </c>
      <c r="J66" s="273"/>
      <c r="K66" s="269"/>
      <c r="L66" s="79"/>
      <c r="M66" s="79"/>
      <c r="N66" s="79"/>
      <c r="O66" s="79"/>
    </row>
    <row r="67" spans="2:15" ht="12.95" customHeight="1" x14ac:dyDescent="0.2">
      <c r="J67" s="131"/>
      <c r="K67" s="4"/>
    </row>
    <row r="68" spans="2:15" ht="12.95" customHeight="1" x14ac:dyDescent="0.35">
      <c r="J68" s="274"/>
      <c r="K68" s="10" t="str">
        <f>+$K$32</f>
        <v>Fiscal Year Ended 12/31</v>
      </c>
      <c r="L68" s="85"/>
      <c r="M68" s="85"/>
      <c r="N68" s="85"/>
      <c r="O68" s="85"/>
    </row>
    <row r="69" spans="2:15" ht="12.95" customHeight="1" x14ac:dyDescent="0.2">
      <c r="B69" s="24" t="s">
        <v>180</v>
      </c>
      <c r="J69" s="275"/>
      <c r="K69" s="118">
        <f>+$K$103</f>
        <v>2020</v>
      </c>
      <c r="L69" s="13">
        <f>+$L$103</f>
        <v>2021</v>
      </c>
      <c r="M69" s="13">
        <f>+$M$103</f>
        <v>2022</v>
      </c>
      <c r="N69" s="13">
        <f>+$N$103</f>
        <v>2023</v>
      </c>
      <c r="O69" s="13">
        <f>+$O$103</f>
        <v>2024</v>
      </c>
    </row>
    <row r="70" spans="2:15" ht="12.95" customHeight="1" x14ac:dyDescent="0.2">
      <c r="B70" s="1" t="s">
        <v>35</v>
      </c>
      <c r="J70" s="276"/>
      <c r="K70" s="221"/>
      <c r="L70" s="54"/>
      <c r="M70" s="54"/>
      <c r="N70" s="54"/>
      <c r="O70" s="54"/>
    </row>
    <row r="71" spans="2:15" ht="12.95" customHeight="1" x14ac:dyDescent="0.2">
      <c r="B71" s="1" t="s">
        <v>163</v>
      </c>
      <c r="J71" s="277"/>
      <c r="K71" s="35"/>
      <c r="L71" s="35"/>
      <c r="M71" s="35"/>
      <c r="N71" s="35"/>
      <c r="O71" s="35"/>
    </row>
    <row r="72" spans="2:15" ht="12.95" customHeight="1" x14ac:dyDescent="0.2">
      <c r="B72" s="1" t="s">
        <v>181</v>
      </c>
      <c r="J72" s="277"/>
      <c r="K72" s="35"/>
      <c r="L72" s="35"/>
      <c r="M72" s="35"/>
      <c r="N72" s="35"/>
      <c r="O72" s="35"/>
    </row>
    <row r="73" spans="2:15" ht="12.95" customHeight="1" x14ac:dyDescent="0.2">
      <c r="B73" s="1" t="s">
        <v>164</v>
      </c>
      <c r="J73" s="278"/>
      <c r="K73" s="35"/>
      <c r="L73" s="35"/>
      <c r="M73" s="35"/>
      <c r="N73" s="35"/>
      <c r="O73" s="35"/>
    </row>
    <row r="74" spans="2:15" ht="12.95" customHeight="1" x14ac:dyDescent="0.2">
      <c r="B74" s="4" t="s">
        <v>165</v>
      </c>
      <c r="C74" s="4"/>
      <c r="D74" s="4"/>
      <c r="E74" s="4"/>
      <c r="F74" s="4"/>
      <c r="G74" s="4"/>
      <c r="H74" s="4"/>
      <c r="I74" s="4"/>
      <c r="J74" s="278"/>
      <c r="K74" s="35"/>
      <c r="L74" s="35"/>
      <c r="M74" s="35"/>
      <c r="N74" s="35"/>
      <c r="O74" s="35"/>
    </row>
    <row r="75" spans="2:15" s="4" customFormat="1" ht="12.95" customHeight="1" x14ac:dyDescent="0.2">
      <c r="B75" s="282" t="s">
        <v>166</v>
      </c>
      <c r="C75" s="94"/>
      <c r="D75" s="94"/>
      <c r="E75" s="94"/>
      <c r="F75" s="94"/>
      <c r="G75" s="94"/>
      <c r="H75" s="94"/>
      <c r="I75" s="94"/>
      <c r="J75" s="279"/>
      <c r="K75" s="234"/>
      <c r="L75" s="234"/>
      <c r="M75" s="234"/>
      <c r="N75" s="234"/>
      <c r="O75" s="235"/>
    </row>
    <row r="76" spans="2:15" s="4" customFormat="1" ht="12.95" customHeight="1" x14ac:dyDescent="0.2">
      <c r="B76" s="40" t="s">
        <v>167</v>
      </c>
      <c r="C76" s="2"/>
      <c r="D76" s="2"/>
      <c r="E76" s="2"/>
      <c r="F76" s="2"/>
      <c r="G76" s="2"/>
      <c r="H76" s="2"/>
      <c r="I76" s="2"/>
      <c r="J76" s="280"/>
      <c r="K76" s="42"/>
      <c r="L76" s="42"/>
      <c r="M76" s="42"/>
      <c r="N76" s="42"/>
      <c r="O76" s="43"/>
    </row>
    <row r="77" spans="2:15" ht="12.95" customHeight="1" x14ac:dyDescent="0.2">
      <c r="J77" s="131"/>
      <c r="K77" s="270"/>
      <c r="L77" s="99"/>
      <c r="M77" s="99"/>
      <c r="N77" s="99"/>
      <c r="O77" s="99"/>
    </row>
    <row r="78" spans="2:15" ht="12.95" customHeight="1" x14ac:dyDescent="0.2">
      <c r="B78" s="24" t="s">
        <v>168</v>
      </c>
      <c r="J78" s="100" t="s">
        <v>126</v>
      </c>
      <c r="K78" s="4"/>
    </row>
    <row r="79" spans="2:15" ht="12.95" customHeight="1" x14ac:dyDescent="0.2">
      <c r="B79" s="1" t="s">
        <v>40</v>
      </c>
      <c r="J79" s="101"/>
      <c r="K79" s="54"/>
      <c r="L79" s="15"/>
      <c r="M79" s="15"/>
      <c r="N79" s="15"/>
      <c r="O79" s="15"/>
    </row>
    <row r="80" spans="2:15" ht="12.95" customHeight="1" x14ac:dyDescent="0.2">
      <c r="J80" s="102"/>
      <c r="K80" s="4"/>
    </row>
    <row r="81" spans="2:16" ht="12.95" customHeight="1" x14ac:dyDescent="0.2">
      <c r="B81" s="1" t="s">
        <v>169</v>
      </c>
      <c r="J81" s="103"/>
      <c r="K81" s="175"/>
      <c r="L81" s="14"/>
      <c r="M81" s="14"/>
      <c r="N81" s="14"/>
      <c r="O81" s="14"/>
    </row>
    <row r="82" spans="2:16" ht="12.95" customHeight="1" x14ac:dyDescent="0.2">
      <c r="J82" s="283"/>
      <c r="K82" s="88"/>
      <c r="L82" s="264"/>
      <c r="M82" s="264"/>
      <c r="N82" s="264"/>
      <c r="O82" s="264"/>
    </row>
    <row r="83" spans="2:16" ht="12.95" customHeight="1" x14ac:dyDescent="0.2">
      <c r="B83" s="1" t="str">
        <f>+B48</f>
        <v>Revolving Credit Facility</v>
      </c>
      <c r="J83" s="104"/>
      <c r="K83" s="35"/>
      <c r="L83" s="16"/>
      <c r="M83" s="16"/>
      <c r="N83" s="16"/>
      <c r="O83" s="16"/>
    </row>
    <row r="84" spans="2:16" ht="12.95" customHeight="1" x14ac:dyDescent="0.2">
      <c r="B84" s="1" t="str">
        <f>+B49</f>
        <v>First Lien Term Loan</v>
      </c>
      <c r="J84" s="104"/>
      <c r="K84" s="35"/>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c r="K91" s="4"/>
    </row>
    <row r="92" spans="2:16" ht="12.95" customHeight="1" x14ac:dyDescent="0.2">
      <c r="B92" s="24" t="s">
        <v>173</v>
      </c>
      <c r="J92" s="102"/>
      <c r="K92" s="284"/>
      <c r="O92" s="108"/>
      <c r="P92" s="109"/>
    </row>
    <row r="93" spans="2:16" ht="12.95" customHeight="1" x14ac:dyDescent="0.2">
      <c r="B93" s="1" t="s">
        <v>174</v>
      </c>
      <c r="J93" s="281"/>
      <c r="K93" s="111"/>
      <c r="L93" s="111"/>
      <c r="M93" s="111"/>
      <c r="N93" s="111"/>
      <c r="O93" s="111"/>
      <c r="P93" s="109"/>
    </row>
    <row r="94" spans="2:16" ht="12.95" customHeight="1" x14ac:dyDescent="0.2">
      <c r="B94" s="1" t="s">
        <v>175</v>
      </c>
      <c r="J94" s="281"/>
      <c r="K94" s="111"/>
      <c r="L94" s="111"/>
      <c r="M94" s="111"/>
      <c r="N94" s="111"/>
      <c r="O94" s="111"/>
      <c r="P94" s="109"/>
    </row>
    <row r="95" spans="2:16" ht="12.95" customHeight="1" x14ac:dyDescent="0.2">
      <c r="B95" s="1" t="s">
        <v>176</v>
      </c>
      <c r="J95" s="107"/>
      <c r="K95" s="114"/>
      <c r="L95" s="114"/>
      <c r="M95" s="114"/>
      <c r="N95" s="114"/>
      <c r="O95" s="114"/>
    </row>
    <row r="96" spans="2:16" ht="12.95" customHeight="1" x14ac:dyDescent="0.2">
      <c r="J96" s="107"/>
      <c r="K96" s="4"/>
      <c r="O96" s="76"/>
    </row>
    <row r="97" spans="1:15" ht="12.95" customHeight="1" x14ac:dyDescent="0.2">
      <c r="B97" s="1" t="s">
        <v>177</v>
      </c>
      <c r="J97" s="107"/>
      <c r="K97" s="111"/>
      <c r="L97" s="111"/>
      <c r="M97" s="111"/>
      <c r="N97" s="111"/>
      <c r="O97" s="111"/>
    </row>
    <row r="98" spans="1:15" ht="12.95" customHeight="1" x14ac:dyDescent="0.2">
      <c r="B98" s="1" t="s">
        <v>178</v>
      </c>
      <c r="J98" s="179"/>
      <c r="K98" s="111"/>
      <c r="L98" s="111"/>
      <c r="M98" s="111"/>
      <c r="N98" s="111"/>
      <c r="O98" s="111"/>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5"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5"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5"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5"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5"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5" ht="12.95" customHeight="1" x14ac:dyDescent="0.2">
      <c r="B109" s="4" t="s">
        <v>20</v>
      </c>
      <c r="C109" s="4"/>
      <c r="D109" s="4"/>
      <c r="E109" s="4"/>
      <c r="F109" s="4"/>
      <c r="G109" s="4"/>
      <c r="H109" s="120">
        <v>0</v>
      </c>
      <c r="I109" s="120">
        <v>5.0000000000000001E-3</v>
      </c>
      <c r="J109" s="127">
        <v>7.4999999999999997E-3</v>
      </c>
      <c r="K109" s="62">
        <f ca="1">+K306</f>
        <v>2.5000000000000001E-2</v>
      </c>
      <c r="L109" s="62">
        <f ca="1">+L306</f>
        <v>0.05</v>
      </c>
      <c r="M109" s="62">
        <f ca="1">+M306</f>
        <v>0.05</v>
      </c>
      <c r="N109" s="62">
        <f ca="1">+N306</f>
        <v>0.05</v>
      </c>
      <c r="O109" s="62">
        <f ca="1">+O306</f>
        <v>0.05</v>
      </c>
    </row>
    <row r="110" spans="1:15" ht="12.95" customHeight="1" x14ac:dyDescent="0.2">
      <c r="B110" s="3" t="s">
        <v>198</v>
      </c>
      <c r="C110" s="3"/>
      <c r="D110" s="3"/>
      <c r="E110" s="3"/>
      <c r="F110" s="3"/>
      <c r="G110" s="3"/>
      <c r="H110" s="120">
        <v>0</v>
      </c>
      <c r="I110" s="120">
        <v>0</v>
      </c>
      <c r="J110" s="127">
        <v>0</v>
      </c>
      <c r="K110" s="62">
        <f ca="1">-SUM(K317,K40)</f>
        <v>-87.966929417512091</v>
      </c>
      <c r="L110" s="62">
        <f ca="1">-SUM(L317,L40)</f>
        <v>-84.823805710353895</v>
      </c>
      <c r="M110" s="62">
        <f ca="1">-SUM(M317,M40)</f>
        <v>-80.986464810708995</v>
      </c>
      <c r="N110" s="62">
        <f ca="1">-SUM(N317,N40)</f>
        <v>-76.225568302937845</v>
      </c>
      <c r="O110" s="62">
        <f ca="1">-SUM(O317,O40)</f>
        <v>-68.60400481472638</v>
      </c>
    </row>
    <row r="111" spans="1:15"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ca="1" si="4"/>
        <v>81.297761032487813</v>
      </c>
      <c r="L111" s="222">
        <f t="shared" ca="1" si="4"/>
        <v>100.44167050264605</v>
      </c>
      <c r="M111" s="222">
        <f t="shared" ca="1" si="4"/>
        <v>121.66213268890594</v>
      </c>
      <c r="N111" s="222">
        <f t="shared" ca="1" si="4"/>
        <v>145.3322316299745</v>
      </c>
      <c r="O111" s="222">
        <f t="shared" ca="1" si="4"/>
        <v>173.51755276439692</v>
      </c>
    </row>
    <row r="112" spans="1:15" ht="12.95" customHeight="1" x14ac:dyDescent="0.2">
      <c r="B112" s="4" t="s">
        <v>22</v>
      </c>
      <c r="C112" s="4"/>
      <c r="D112" s="4"/>
      <c r="E112" s="4"/>
      <c r="F112" s="4"/>
      <c r="G112" s="4"/>
      <c r="H112" s="120">
        <v>-47.249999999999986</v>
      </c>
      <c r="I112" s="120">
        <v>-37.558299999999996</v>
      </c>
      <c r="J112" s="127">
        <v>-40.187939999999976</v>
      </c>
      <c r="K112" s="62">
        <f ca="1">-K111*K131</f>
        <v>-21.137417868446832</v>
      </c>
      <c r="L112" s="62">
        <f ca="1">-L111*L131</f>
        <v>-26.114834330687973</v>
      </c>
      <c r="M112" s="62">
        <f ca="1">-M111*M131</f>
        <v>-31.632154499115547</v>
      </c>
      <c r="N112" s="62">
        <f ca="1">-N111*N131</f>
        <v>-37.786380223793373</v>
      </c>
      <c r="O112" s="62">
        <f ca="1">-O111*O131</f>
        <v>-45.114563718743199</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ca="1" si="5"/>
        <v>60.160343164040981</v>
      </c>
      <c r="L113" s="234">
        <f t="shared" ca="1" si="5"/>
        <v>74.326836171958078</v>
      </c>
      <c r="M113" s="234">
        <f t="shared" ca="1" si="5"/>
        <v>90.029978189790398</v>
      </c>
      <c r="N113" s="234">
        <f t="shared" ca="1" si="5"/>
        <v>107.54585140618113</v>
      </c>
      <c r="O113" s="235">
        <f t="shared" ca="1" si="5"/>
        <v>128.40298904565373</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f ca="1">+J139+K220</f>
        <v>5</v>
      </c>
      <c r="L139" s="221">
        <f ca="1">+K139+L220</f>
        <v>5</v>
      </c>
      <c r="M139" s="221">
        <f ca="1">+L139+M220</f>
        <v>5</v>
      </c>
      <c r="N139" s="221">
        <f ca="1">+M139+N220</f>
        <v>5</v>
      </c>
      <c r="O139" s="221">
        <f ca="1">+N139+O220</f>
        <v>5</v>
      </c>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ca="1" si="13"/>
        <v>187.96286050053121</v>
      </c>
      <c r="L143" s="238">
        <f t="shared" ca="1" si="13"/>
        <v>200.52950228475203</v>
      </c>
      <c r="M143" s="238">
        <f t="shared" ca="1" si="13"/>
        <v>213.95895590231126</v>
      </c>
      <c r="N143" s="238">
        <f t="shared" ca="1" si="13"/>
        <v>228.31043846513344</v>
      </c>
      <c r="O143" s="238">
        <f t="shared" ca="1" si="13"/>
        <v>243.64722970282941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ca="1" si="14"/>
        <v>2142.5559154857301</v>
      </c>
      <c r="L149" s="240">
        <f t="shared" ca="1" si="14"/>
        <v>2158.2616405183794</v>
      </c>
      <c r="M149" s="240">
        <f t="shared" ca="1" si="14"/>
        <v>2174.662867136642</v>
      </c>
      <c r="N149" s="240">
        <f t="shared" ca="1" si="14"/>
        <v>2191.7629203555853</v>
      </c>
      <c r="O149" s="241">
        <f t="shared" ca="1" si="14"/>
        <v>2209.5621827346149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 ca="1">+K256</f>
        <v>0</v>
      </c>
      <c r="L159" s="35">
        <f ca="1">+L256</f>
        <v>0</v>
      </c>
      <c r="M159" s="35">
        <f ca="1">+M256</f>
        <v>0</v>
      </c>
      <c r="N159" s="35">
        <f ca="1">+N256</f>
        <v>0</v>
      </c>
      <c r="O159" s="35">
        <f ca="1">+O256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f ca="1">+K270</f>
        <v>313.68842044632839</v>
      </c>
      <c r="L160" s="35">
        <f ca="1">+L270</f>
        <v>225.91463196192365</v>
      </c>
      <c r="M160" s="35">
        <f ca="1">+M270</f>
        <v>120.88850915452724</v>
      </c>
      <c r="N160" s="35">
        <f ca="1">+N270</f>
        <v>0</v>
      </c>
      <c r="O160" s="35">
        <f ca="1">+O270</f>
        <v>0</v>
      </c>
      <c r="Q160" s="174"/>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f ca="1">+K281</f>
        <v>210.91055916666659</v>
      </c>
      <c r="L161" s="35">
        <f ca="1">+L281</f>
        <v>228.48643909722213</v>
      </c>
      <c r="M161" s="35">
        <f ca="1">+M281</f>
        <v>247.5269756886573</v>
      </c>
      <c r="N161" s="35">
        <f ca="1">+N281</f>
        <v>264.78033587676589</v>
      </c>
      <c r="O161" s="35">
        <f ca="1">+O281</f>
        <v>140.09873852710791</v>
      </c>
      <c r="Q161" s="174"/>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f ca="1">+K291</f>
        <v>486.71667499999984</v>
      </c>
      <c r="L162" s="66">
        <f ca="1">+L291</f>
        <v>486.71667499999984</v>
      </c>
      <c r="M162" s="66">
        <f ca="1">+M291</f>
        <v>486.71667499999984</v>
      </c>
      <c r="N162" s="66">
        <f ca="1">+N291</f>
        <v>486.71667499999984</v>
      </c>
      <c r="O162" s="66">
        <f ca="1">+O291</f>
        <v>486.71667499999984</v>
      </c>
      <c r="Q162" s="174"/>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ca="1" si="16"/>
        <v>1011.3156546129949</v>
      </c>
      <c r="L163" s="238">
        <f t="shared" ca="1" si="16"/>
        <v>941.1177460591457</v>
      </c>
      <c r="M163" s="238">
        <f t="shared" ca="1" si="16"/>
        <v>855.13215984318435</v>
      </c>
      <c r="N163" s="238">
        <f t="shared" ca="1" si="16"/>
        <v>751.49701087676567</v>
      </c>
      <c r="O163" s="238">
        <f t="shared" ca="1" si="16"/>
        <v>626.81541352710769</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 ca="1">+J165+K113</f>
        <v>959.66589186404076</v>
      </c>
      <c r="L165" s="35">
        <f ca="1">+K165+L113</f>
        <v>1033.9927280359989</v>
      </c>
      <c r="M165" s="35">
        <f ca="1">+L165+M113</f>
        <v>1124.0227062257893</v>
      </c>
      <c r="N165" s="35">
        <f ca="1">+M165+N113</f>
        <v>1231.5685576319704</v>
      </c>
      <c r="O165" s="35">
        <f ca="1">+N165+O113</f>
        <v>1359.9715466776242</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ca="1" si="17"/>
        <v>2142.5559154857301</v>
      </c>
      <c r="L166" s="22">
        <f t="shared" ca="1" si="17"/>
        <v>2158.2616405183799</v>
      </c>
      <c r="M166" s="22">
        <f t="shared" ca="1" si="17"/>
        <v>2174.6628671366425</v>
      </c>
      <c r="N166" s="22">
        <f t="shared" ca="1" si="17"/>
        <v>2191.7629203555853</v>
      </c>
      <c r="O166" s="23">
        <f t="shared" ca="1" si="17"/>
        <v>2209.5621827346154</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ca="1" si="18"/>
        <v>0</v>
      </c>
      <c r="L168" s="175">
        <f t="shared" ca="1" si="18"/>
        <v>0</v>
      </c>
      <c r="M168" s="175">
        <f t="shared" ca="1" si="18"/>
        <v>0</v>
      </c>
      <c r="N168" s="175">
        <f t="shared" ca="1" si="18"/>
        <v>0</v>
      </c>
      <c r="O168" s="175">
        <f t="shared" ca="1" si="18"/>
        <v>0</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 ca="1">+(K143-K139)-K154</f>
        <v>22.413878491836641</v>
      </c>
      <c r="L186" s="200">
        <f ca="1">+(L143-L139)-L154</f>
        <v>24.17549995151694</v>
      </c>
      <c r="M186" s="200">
        <f ca="1">+(M143-M139)-M154</f>
        <v>26.073920410942577</v>
      </c>
      <c r="N186" s="200">
        <f ca="1">+(N143-N139)-N154</f>
        <v>28.11965978492529</v>
      </c>
      <c r="O186" s="200">
        <f ca="1">+(O143-O139)-O154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 ca="1">+K186/K171</f>
        <v>2.0329334917528644E-2</v>
      </c>
      <c r="L187" s="203">
        <f ca="1">+L186/L171</f>
        <v>2.0492636846519387E-2</v>
      </c>
      <c r="M187" s="203">
        <f ca="1">+M186/M171</f>
        <v>2.0655938775510207E-2</v>
      </c>
      <c r="N187" s="203">
        <f ca="1">+N186/N171</f>
        <v>2.0819240704500967E-2</v>
      </c>
      <c r="O187" s="203">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 ca="1">+K113</f>
        <v>60.160343164040981</v>
      </c>
      <c r="L193" s="15">
        <f ca="1">+L113</f>
        <v>74.326836171958078</v>
      </c>
      <c r="M193" s="15">
        <f ca="1">+M113</f>
        <v>90.029978189790398</v>
      </c>
      <c r="N193" s="15">
        <f ca="1">+N113</f>
        <v>107.54585140618113</v>
      </c>
      <c r="O193" s="15">
        <f ca="1">+O113</f>
        <v>128.40298904565373</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f ca="1">K316</f>
        <v>16.223889166666662</v>
      </c>
      <c r="L196" s="62">
        <f t="shared" ref="L196:O196" ca="1" si="19">L316</f>
        <v>17.575879930555548</v>
      </c>
      <c r="M196" s="62">
        <f t="shared" ca="1" si="19"/>
        <v>19.040536591435178</v>
      </c>
      <c r="N196" s="62">
        <f t="shared" ca="1" si="19"/>
        <v>20.49229246261693</v>
      </c>
      <c r="O196" s="62">
        <f t="shared" ca="1" si="19"/>
        <v>16.195162976154954</v>
      </c>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20">+(J140-K140)</f>
        <v>-4.5168657534246393</v>
      </c>
      <c r="L199" s="16">
        <f t="shared" si="20"/>
        <v>-6.3433733424657532</v>
      </c>
      <c r="M199" s="16">
        <f t="shared" si="20"/>
        <v>-6.7874094764383699</v>
      </c>
      <c r="N199" s="16">
        <f t="shared" si="20"/>
        <v>-7.2625281397890546</v>
      </c>
      <c r="O199" s="16">
        <f t="shared" si="20"/>
        <v>-7.7709051095742865</v>
      </c>
    </row>
    <row r="200" spans="2:15" ht="12.95" customHeight="1" x14ac:dyDescent="0.2">
      <c r="B200" s="1" t="str">
        <f>+"(Increase) / Decrease in "&amp;B141</f>
        <v>(Increase) / Decrease in Inventories</v>
      </c>
      <c r="H200" s="38"/>
      <c r="I200" s="38"/>
      <c r="J200" s="38"/>
      <c r="K200" s="16">
        <f t="shared" si="20"/>
        <v>-4.2586686249870525</v>
      </c>
      <c r="L200" s="16">
        <f t="shared" si="20"/>
        <v>-4.2166480077551114</v>
      </c>
      <c r="M200" s="16">
        <f t="shared" si="20"/>
        <v>-4.4949602767408265</v>
      </c>
      <c r="N200" s="16">
        <f t="shared" si="20"/>
        <v>-4.7915746881465395</v>
      </c>
      <c r="O200" s="16">
        <f t="shared" si="20"/>
        <v>-5.1076898117930227</v>
      </c>
    </row>
    <row r="201" spans="2:15" ht="12.95" customHeight="1" x14ac:dyDescent="0.2">
      <c r="B201" s="1" t="str">
        <f>+"(Increase) / Decrease in "&amp;B142</f>
        <v>(Increase) / Decrease in Prepaid Expenses</v>
      </c>
      <c r="H201" s="38"/>
      <c r="I201" s="38"/>
      <c r="J201" s="38"/>
      <c r="K201" s="16">
        <f t="shared" si="20"/>
        <v>-0.84493619999999936</v>
      </c>
      <c r="L201" s="16">
        <f t="shared" si="20"/>
        <v>-2.0066204339999985</v>
      </c>
      <c r="M201" s="16">
        <f t="shared" si="20"/>
        <v>-2.1470838643800079</v>
      </c>
      <c r="N201" s="16">
        <f t="shared" si="20"/>
        <v>-2.2973797348865972</v>
      </c>
      <c r="O201" s="16">
        <f t="shared" si="20"/>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21">+K151-J151</f>
        <v>5.1904433589041119</v>
      </c>
      <c r="L203" s="16">
        <f t="shared" si="21"/>
        <v>3.396423326794519</v>
      </c>
      <c r="M203" s="16">
        <f t="shared" si="21"/>
        <v>3.62059814071727</v>
      </c>
      <c r="N203" s="16">
        <f t="shared" si="21"/>
        <v>3.8595149542878886</v>
      </c>
      <c r="O203" s="16">
        <f t="shared" si="21"/>
        <v>4.1141391908688973</v>
      </c>
    </row>
    <row r="204" spans="2:15" ht="12.95" customHeight="1" x14ac:dyDescent="0.2">
      <c r="B204" s="1" t="str">
        <f>+"Increase / (Decrease) in "&amp;B152</f>
        <v>Increase / (Decrease) in Accrued Liabilities</v>
      </c>
      <c r="H204" s="38"/>
      <c r="I204" s="38"/>
      <c r="J204" s="38"/>
      <c r="K204" s="16">
        <f t="shared" si="21"/>
        <v>5.0838265539000034</v>
      </c>
      <c r="L204" s="16">
        <f t="shared" si="21"/>
        <v>3.5497115477460071</v>
      </c>
      <c r="M204" s="16">
        <f t="shared" si="21"/>
        <v>3.7814275859163331</v>
      </c>
      <c r="N204" s="16">
        <f t="shared" si="21"/>
        <v>4.0281902828465519</v>
      </c>
      <c r="O204" s="16">
        <f t="shared" si="21"/>
        <v>4.2909707621760305</v>
      </c>
    </row>
    <row r="205" spans="2:15" ht="12.95" customHeight="1" x14ac:dyDescent="0.2">
      <c r="B205" s="1" t="str">
        <f>+"Increase / (Decrease) in "&amp;B153</f>
        <v>Increase / (Decrease) in Deferred Revenue</v>
      </c>
      <c r="H205" s="38"/>
      <c r="I205" s="38"/>
      <c r="J205" s="38"/>
      <c r="K205" s="16">
        <f t="shared" si="21"/>
        <v>11.334509999999995</v>
      </c>
      <c r="L205" s="16">
        <f t="shared" si="21"/>
        <v>3.8588854500000025</v>
      </c>
      <c r="M205" s="16">
        <f t="shared" si="21"/>
        <v>4.129007431500014</v>
      </c>
      <c r="N205" s="16">
        <f t="shared" si="21"/>
        <v>4.4180379517050028</v>
      </c>
      <c r="O205" s="16">
        <f t="shared" si="21"/>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 ca="1">+SUM(K193:K196,K207)</f>
        <v>126.44027560367149</v>
      </c>
      <c r="L209" s="22">
        <f ca="1">+SUM(L193:L196,L207)</f>
        <v>137.32187766240475</v>
      </c>
      <c r="M209" s="22">
        <f ca="1">+SUM(M193:M196,M207)</f>
        <v>158.67372650667141</v>
      </c>
      <c r="N209" s="22">
        <f ca="1">+SUM(N193:N196,N207)</f>
        <v>182.20570604559188</v>
      </c>
      <c r="O209" s="23">
        <f ca="1">+SUM(O193:O196,O207)</f>
        <v>203.7431051299435</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 ca="1">+L228</f>
        <v>-7.787466799999998</v>
      </c>
      <c r="M216" s="16">
        <f ca="1">+M228</f>
        <v>-7.787466799999998</v>
      </c>
      <c r="N216" s="16">
        <f ca="1">+N228</f>
        <v>-7.787466799999998</v>
      </c>
      <c r="O216" s="16">
        <f ca="1">+O228</f>
        <v>0</v>
      </c>
    </row>
    <row r="217" spans="1:15" ht="12.95" customHeight="1" x14ac:dyDescent="0.2">
      <c r="B217" s="3" t="s">
        <v>83</v>
      </c>
      <c r="C217" s="3"/>
      <c r="D217" s="3"/>
      <c r="E217" s="3"/>
      <c r="F217" s="3"/>
      <c r="G217" s="3"/>
      <c r="H217" s="27"/>
      <c r="I217" s="27"/>
      <c r="J217" s="27"/>
      <c r="K217" s="66">
        <f ca="1">+K245</f>
        <v>-67.897452753671487</v>
      </c>
      <c r="L217" s="66">
        <f ca="1">+L245</f>
        <v>-79.986321684404743</v>
      </c>
      <c r="M217" s="66">
        <f ca="1">+M245</f>
        <v>-97.238656007396401</v>
      </c>
      <c r="N217" s="66">
        <f ca="1">+N245</f>
        <v>-116.33997462903557</v>
      </c>
      <c r="O217" s="66">
        <f ca="1">+O245</f>
        <v>-140.87676032581294</v>
      </c>
    </row>
    <row r="218" spans="1:15" s="76" customFormat="1" ht="12.95" customHeight="1" x14ac:dyDescent="0.2">
      <c r="B218" s="69" t="s">
        <v>84</v>
      </c>
      <c r="C218" s="69"/>
      <c r="D218" s="69"/>
      <c r="E218" s="69"/>
      <c r="F218" s="69"/>
      <c r="G218" s="69"/>
      <c r="H218" s="210"/>
      <c r="I218" s="210"/>
      <c r="J218" s="210"/>
      <c r="K218" s="71">
        <f ca="1">+SUM(K216:K217)</f>
        <v>-75.684919553671492</v>
      </c>
      <c r="L218" s="71">
        <f ca="1">+SUM(L216:L217)</f>
        <v>-87.773788484404747</v>
      </c>
      <c r="M218" s="71">
        <f ca="1">+SUM(M216:M217)</f>
        <v>-105.0261228073964</v>
      </c>
      <c r="N218" s="71">
        <f ca="1">+SUM(N216:N217)</f>
        <v>-124.12744142903557</v>
      </c>
      <c r="O218" s="71">
        <f ca="1">+SUM(O216:O217)</f>
        <v>-140.87676032581294</v>
      </c>
    </row>
    <row r="220" spans="1:15" ht="12.95" customHeight="1" x14ac:dyDescent="0.2">
      <c r="B220" s="207" t="s">
        <v>87</v>
      </c>
      <c r="C220" s="208"/>
      <c r="D220" s="208"/>
      <c r="E220" s="208"/>
      <c r="F220" s="208"/>
      <c r="G220" s="208"/>
      <c r="H220" s="209"/>
      <c r="I220" s="209"/>
      <c r="J220" s="209"/>
      <c r="K220" s="22">
        <f ca="1">+K209+K213+K218</f>
        <v>5</v>
      </c>
      <c r="L220" s="22">
        <f ca="1">+L209+L213+L218</f>
        <v>0</v>
      </c>
      <c r="M220" s="22">
        <f ca="1">+M209+M213+M218</f>
        <v>0</v>
      </c>
      <c r="N220" s="22">
        <f ca="1">+N209+N213+N218</f>
        <v>0</v>
      </c>
      <c r="O220" s="2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 ca="1">+L268</f>
        <v>-7.787466799999998</v>
      </c>
      <c r="M227" s="211">
        <f ca="1">+M268</f>
        <v>-7.787466799999998</v>
      </c>
      <c r="N227" s="211">
        <f ca="1">+N268</f>
        <v>-7.787466799999998</v>
      </c>
      <c r="O227" s="211">
        <f ca="1">+O268</f>
        <v>0</v>
      </c>
    </row>
    <row r="228" spans="2:15" s="76" customFormat="1" ht="12.95" customHeight="1" x14ac:dyDescent="0.2">
      <c r="B228" s="69" t="s">
        <v>74</v>
      </c>
      <c r="C228" s="69"/>
      <c r="D228" s="69"/>
      <c r="E228" s="69"/>
      <c r="F228" s="69"/>
      <c r="G228" s="69"/>
      <c r="H228" s="212"/>
      <c r="I228" s="212"/>
      <c r="J228" s="212"/>
      <c r="K228" s="71">
        <f>+SUM(K227)</f>
        <v>-7.787466799999998</v>
      </c>
      <c r="L228" s="71">
        <f ca="1">+SUM(L227)</f>
        <v>-7.787466799999998</v>
      </c>
      <c r="M228" s="71">
        <f ca="1">+SUM(M227)</f>
        <v>-7.787466799999998</v>
      </c>
      <c r="N228" s="71">
        <f ca="1">+SUM(N227)</f>
        <v>-7.787466799999998</v>
      </c>
      <c r="O228" s="71">
        <f ca="1">+SUM(O227)</f>
        <v>0</v>
      </c>
    </row>
    <row r="230" spans="2:15" ht="12.95" customHeight="1" x14ac:dyDescent="0.2">
      <c r="B230" s="24" t="s">
        <v>196</v>
      </c>
    </row>
    <row r="231" spans="2:15" ht="12.95" customHeight="1" x14ac:dyDescent="0.2">
      <c r="B231" s="1" t="s">
        <v>122</v>
      </c>
      <c r="K231" s="16">
        <f ca="1">+K209+K213</f>
        <v>80.684919553671492</v>
      </c>
      <c r="L231" s="16">
        <f ca="1">+L209+L213</f>
        <v>87.773788484404747</v>
      </c>
      <c r="M231" s="16">
        <f ca="1">+M209+M213</f>
        <v>105.0261228073964</v>
      </c>
      <c r="N231" s="16">
        <f ca="1">+N209+N213</f>
        <v>124.12744142903557</v>
      </c>
      <c r="O231" s="16">
        <f ca="1">+O209+O213</f>
        <v>140.87676032581294</v>
      </c>
    </row>
    <row r="232" spans="2:15" ht="12.95" customHeight="1" x14ac:dyDescent="0.2">
      <c r="B232" s="1" t="s">
        <v>123</v>
      </c>
      <c r="K232" s="16">
        <f>+K228</f>
        <v>-7.787466799999998</v>
      </c>
      <c r="L232" s="16">
        <f ca="1">+L228</f>
        <v>-7.787466799999998</v>
      </c>
      <c r="M232" s="16">
        <f ca="1">+M228</f>
        <v>-7.787466799999998</v>
      </c>
      <c r="N232" s="16">
        <f ca="1">+N228</f>
        <v>-7.787466799999998</v>
      </c>
      <c r="O232" s="16">
        <f ca="1">+O228</f>
        <v>0</v>
      </c>
    </row>
    <row r="233" spans="2:15" s="76" customFormat="1" ht="12.95" customHeight="1" x14ac:dyDescent="0.2">
      <c r="B233" s="20" t="s">
        <v>75</v>
      </c>
      <c r="C233" s="21"/>
      <c r="D233" s="21"/>
      <c r="E233" s="21"/>
      <c r="F233" s="21"/>
      <c r="G233" s="21"/>
      <c r="H233" s="21"/>
      <c r="I233" s="21"/>
      <c r="J233" s="21"/>
      <c r="K233" s="22">
        <f ca="1">SUM(K231:K232)</f>
        <v>72.897452753671487</v>
      </c>
      <c r="L233" s="22">
        <f ca="1">SUM(L231:L232)</f>
        <v>79.986321684404743</v>
      </c>
      <c r="M233" s="22">
        <f ca="1">SUM(M231:M232)</f>
        <v>97.238656007396401</v>
      </c>
      <c r="N233" s="22">
        <f ca="1">SUM(N231:N232)</f>
        <v>116.33997462903557</v>
      </c>
      <c r="O233" s="23">
        <f ca="1">SUM(O231:O232)</f>
        <v>140.87676032581294</v>
      </c>
    </row>
    <row r="235" spans="2:15" ht="12.95" customHeight="1" x14ac:dyDescent="0.2">
      <c r="B235" s="1" t="s">
        <v>76</v>
      </c>
      <c r="H235" s="38"/>
      <c r="I235" s="38"/>
      <c r="J235" s="38"/>
      <c r="K235" s="16">
        <f>+J139</f>
        <v>0</v>
      </c>
      <c r="L235" s="16">
        <f ca="1">+K139</f>
        <v>5</v>
      </c>
      <c r="M235" s="16">
        <f ca="1">+L139</f>
        <v>5</v>
      </c>
      <c r="N235" s="16">
        <f ca="1">+M139</f>
        <v>5</v>
      </c>
      <c r="O235" s="16">
        <f ca="1">+N139</f>
        <v>5</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 ca="1">+K233</f>
        <v>72.897452753671487</v>
      </c>
      <c r="L237" s="35">
        <f ca="1">+L233</f>
        <v>79.986321684404743</v>
      </c>
      <c r="M237" s="35">
        <f ca="1">+M233</f>
        <v>97.238656007396401</v>
      </c>
      <c r="N237" s="35">
        <f ca="1">+N233</f>
        <v>116.33997462903557</v>
      </c>
      <c r="O237" s="35">
        <f ca="1">+O233</f>
        <v>140.87676032581294</v>
      </c>
    </row>
    <row r="238" spans="2:15" s="76" customFormat="1" ht="12.95" customHeight="1" x14ac:dyDescent="0.2">
      <c r="B238" s="20" t="s">
        <v>86</v>
      </c>
      <c r="C238" s="21"/>
      <c r="D238" s="21"/>
      <c r="E238" s="21"/>
      <c r="F238" s="21"/>
      <c r="G238" s="21"/>
      <c r="H238" s="172"/>
      <c r="I238" s="172"/>
      <c r="J238" s="172"/>
      <c r="K238" s="22">
        <f ca="1">SUM(K235:K237)</f>
        <v>67.897452753671487</v>
      </c>
      <c r="L238" s="22">
        <f ca="1">SUM(L235:L237)</f>
        <v>79.986321684404743</v>
      </c>
      <c r="M238" s="22">
        <f ca="1">SUM(M235:M237)</f>
        <v>97.238656007396401</v>
      </c>
      <c r="N238" s="22">
        <f ca="1">SUM(N235:N237)</f>
        <v>116.33997462903557</v>
      </c>
      <c r="O238" s="23">
        <f ca="1">SUM(O235:O237)</f>
        <v>140.87676032581294</v>
      </c>
    </row>
    <row r="240" spans="2:15" s="76" customFormat="1" ht="12.95" customHeight="1" x14ac:dyDescent="0.2">
      <c r="B240" s="24" t="s">
        <v>79</v>
      </c>
    </row>
    <row r="241" spans="1:15" ht="12.95" customHeight="1" x14ac:dyDescent="0.2">
      <c r="B241" s="1" t="str">
        <f>+B159</f>
        <v>Revolving Credit Facility</v>
      </c>
      <c r="K241" s="16">
        <f ca="1">+K255</f>
        <v>0</v>
      </c>
      <c r="L241" s="16">
        <f ca="1">+L255</f>
        <v>0</v>
      </c>
      <c r="M241" s="16">
        <f ca="1">+M255</f>
        <v>0</v>
      </c>
      <c r="N241" s="16">
        <f ca="1">+N255</f>
        <v>0</v>
      </c>
      <c r="O241" s="16">
        <f ca="1">+O255</f>
        <v>0</v>
      </c>
    </row>
    <row r="242" spans="1:15" ht="12.95" customHeight="1" x14ac:dyDescent="0.2">
      <c r="B242" s="1" t="str">
        <f>+B160</f>
        <v>First Lien Term Loan</v>
      </c>
      <c r="K242" s="16">
        <f ca="1">+K269</f>
        <v>-67.897452753671487</v>
      </c>
      <c r="L242" s="16">
        <f ca="1">+L269</f>
        <v>-79.986321684404743</v>
      </c>
      <c r="M242" s="16">
        <f ca="1">+M269</f>
        <v>-97.238656007396401</v>
      </c>
      <c r="N242" s="16">
        <f ca="1">+N269</f>
        <v>-113.10104235452724</v>
      </c>
      <c r="O242" s="16">
        <f ca="1">+O269</f>
        <v>0</v>
      </c>
    </row>
    <row r="243" spans="1:15" ht="12.95" customHeight="1" x14ac:dyDescent="0.2">
      <c r="B243" s="1" t="str">
        <f>+B161</f>
        <v>Second Lien Term Loan</v>
      </c>
      <c r="K243" s="16">
        <f ca="1">+K280</f>
        <v>0</v>
      </c>
      <c r="L243" s="16">
        <f ca="1">+L280</f>
        <v>0</v>
      </c>
      <c r="M243" s="16">
        <f ca="1">+M280</f>
        <v>0</v>
      </c>
      <c r="N243" s="16">
        <f ca="1">+N280</f>
        <v>-3.2389322745083291</v>
      </c>
      <c r="O243" s="16">
        <f ca="1">+O280</f>
        <v>-140.87676032581294</v>
      </c>
    </row>
    <row r="244" spans="1:15" ht="12.95" customHeight="1" x14ac:dyDescent="0.2">
      <c r="B244" s="3" t="str">
        <f>+B162</f>
        <v>Notes</v>
      </c>
      <c r="C244" s="3"/>
      <c r="D244" s="3"/>
      <c r="E244" s="3"/>
      <c r="F244" s="3"/>
      <c r="G244" s="3"/>
      <c r="H244" s="3"/>
      <c r="I244" s="3"/>
      <c r="J244" s="3"/>
      <c r="K244" s="66">
        <f ca="1">+K290</f>
        <v>0</v>
      </c>
      <c r="L244" s="66">
        <f ca="1">+L290</f>
        <v>0</v>
      </c>
      <c r="M244" s="66">
        <f ca="1">+M290</f>
        <v>0</v>
      </c>
      <c r="N244" s="66">
        <f ca="1">+N290</f>
        <v>0</v>
      </c>
      <c r="O244" s="66">
        <f ca="1">+O290</f>
        <v>0</v>
      </c>
    </row>
    <row r="245" spans="1:15" s="76" customFormat="1" ht="12.95" customHeight="1" x14ac:dyDescent="0.2">
      <c r="B245" s="69" t="s">
        <v>80</v>
      </c>
      <c r="C245" s="69"/>
      <c r="D245" s="69"/>
      <c r="E245" s="69"/>
      <c r="F245" s="69"/>
      <c r="G245" s="69"/>
      <c r="H245" s="69"/>
      <c r="I245" s="69"/>
      <c r="J245" s="69"/>
      <c r="K245" s="71">
        <f ca="1">SUM(K241:K244)</f>
        <v>-67.897452753671487</v>
      </c>
      <c r="L245" s="71">
        <f ca="1">SUM(L241:L244)</f>
        <v>-79.986321684404743</v>
      </c>
      <c r="M245" s="71">
        <f ca="1">SUM(M241:M244)</f>
        <v>-97.238656007396401</v>
      </c>
      <c r="N245" s="71">
        <f ca="1">SUM(N241:N244)</f>
        <v>-116.33997462903557</v>
      </c>
      <c r="O245" s="71">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206"/>
      <c r="M249" s="206"/>
      <c r="N249" s="206"/>
      <c r="O249" s="206"/>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13">
        <v>0.02</v>
      </c>
      <c r="L251" s="214">
        <f>+K251</f>
        <v>0.02</v>
      </c>
      <c r="M251" s="214">
        <f>+L251</f>
        <v>0.02</v>
      </c>
      <c r="N251" s="214">
        <f>+M251</f>
        <v>0.02</v>
      </c>
      <c r="O251" s="214">
        <f>+N251</f>
        <v>0.02</v>
      </c>
    </row>
    <row r="252" spans="1:15" s="4" customFormat="1" ht="12.95" customHeight="1" x14ac:dyDescent="0.2">
      <c r="K252" s="118"/>
      <c r="L252" s="118"/>
      <c r="M252" s="118"/>
      <c r="N252" s="118"/>
      <c r="O252" s="118"/>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15">
        <f>+J159</f>
        <v>0</v>
      </c>
      <c r="L254" s="54">
        <f ca="1">+K256</f>
        <v>0</v>
      </c>
      <c r="M254" s="54">
        <f ca="1">+L256</f>
        <v>0</v>
      </c>
      <c r="N254" s="54">
        <f ca="1">+M256</f>
        <v>0</v>
      </c>
      <c r="O254" s="54">
        <f ca="1">+N256</f>
        <v>0</v>
      </c>
    </row>
    <row r="255" spans="1:15" ht="12.95" customHeight="1" x14ac:dyDescent="0.2">
      <c r="B255" s="3" t="s">
        <v>94</v>
      </c>
      <c r="C255" s="3"/>
      <c r="D255" s="3"/>
      <c r="E255" s="3"/>
      <c r="F255" s="3"/>
      <c r="G255" s="3"/>
      <c r="H255" s="3"/>
      <c r="I255" s="3"/>
      <c r="J255" s="3"/>
      <c r="K255" s="66">
        <f ca="1">-MIN(K238,K254)</f>
        <v>0</v>
      </c>
      <c r="L255" s="66">
        <f ca="1">-MIN(L238,L254)</f>
        <v>0</v>
      </c>
      <c r="M255" s="66">
        <f ca="1">-MIN(M238,M254)</f>
        <v>0</v>
      </c>
      <c r="N255" s="66">
        <f ca="1">-MIN(N238,N254)</f>
        <v>0</v>
      </c>
      <c r="O255" s="66">
        <f ca="1">-MIN(O238,O254)</f>
        <v>0</v>
      </c>
    </row>
    <row r="256" spans="1:15" ht="12.95" customHeight="1" x14ac:dyDescent="0.2">
      <c r="B256" s="69" t="s">
        <v>192</v>
      </c>
      <c r="C256" s="69"/>
      <c r="D256" s="69"/>
      <c r="E256" s="69"/>
      <c r="F256" s="69"/>
      <c r="G256" s="69"/>
      <c r="H256" s="69"/>
      <c r="I256" s="69"/>
      <c r="J256" s="69"/>
      <c r="K256" s="71">
        <f ca="1">SUM(K254:K255)</f>
        <v>0</v>
      </c>
      <c r="L256" s="71">
        <f ca="1">SUM(L254:L255)</f>
        <v>0</v>
      </c>
      <c r="M256" s="71">
        <f ca="1">SUM(M254:M255)</f>
        <v>0</v>
      </c>
      <c r="N256" s="71">
        <f ca="1">SUM(N254:N255)</f>
        <v>0</v>
      </c>
      <c r="O256" s="71">
        <f ca="1">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 ca="1">+AVERAGE(K254,K256)</f>
        <v>0</v>
      </c>
      <c r="L258" s="35">
        <f ca="1">+AVERAGE(L254,L256)</f>
        <v>0</v>
      </c>
      <c r="M258" s="35">
        <f ca="1">+AVERAGE(M254,M256)</f>
        <v>0</v>
      </c>
      <c r="N258" s="35">
        <f ca="1">+AVERAGE(N254,N256)</f>
        <v>0</v>
      </c>
      <c r="O258" s="35">
        <f ca="1">+AVERAGE(O254,O256)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f ca="1">+IF($E$5=1,K258,0)*K259</f>
        <v>0</v>
      </c>
      <c r="L260" s="54">
        <f ca="1">+IF($E$5=1,L258,0)*L259</f>
        <v>0</v>
      </c>
      <c r="M260" s="54">
        <f ca="1">+IF($E$5=1,M258,0)*M259</f>
        <v>0</v>
      </c>
      <c r="N260" s="54">
        <f ca="1">+IF($E$5=1,N258,0)*N259</f>
        <v>0</v>
      </c>
      <c r="O260" s="54">
        <f ca="1">+IF($E$5=1,O258,0)*O259</f>
        <v>0</v>
      </c>
    </row>
    <row r="261" spans="2:15" s="4" customFormat="1" ht="12.95" customHeight="1" x14ac:dyDescent="0.2">
      <c r="B261" s="4" t="s">
        <v>158</v>
      </c>
      <c r="G261" s="4" t="s">
        <v>147</v>
      </c>
      <c r="I261" s="218">
        <v>25</v>
      </c>
      <c r="K261" s="15">
        <f ca="1">+IF($E$5=1,($I$258-K258),0)*$I$261/10000</f>
        <v>0.25</v>
      </c>
      <c r="L261" s="15">
        <f ca="1">+IF($E$5=1,($I$258-L258),0)*$I$261/10000</f>
        <v>0.25</v>
      </c>
      <c r="M261" s="15">
        <f ca="1">+IF($E$5=1,($I$258-M258),0)*$I$261/10000</f>
        <v>0.25</v>
      </c>
      <c r="N261" s="15">
        <f ca="1">+IF($E$5=1,($I$258-N258),0)*$I$261/10000</f>
        <v>0.25</v>
      </c>
      <c r="O261" s="15">
        <f ca="1">+IF($E$5=1,($I$258-O258),0)*$I$261/10000</f>
        <v>0.25</v>
      </c>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 ca="1">+IF(K256&gt;$I$258,1,0)</f>
        <v>0</v>
      </c>
      <c r="L264" s="14">
        <f ca="1">+IF(L256&gt;$I$258,1,0)</f>
        <v>0</v>
      </c>
      <c r="M264" s="14">
        <f ca="1">+IF(M256&gt;$I$258,1,0)</f>
        <v>0</v>
      </c>
      <c r="N264" s="14">
        <f ca="1">+IF(N256&gt;$I$258,1,0)</f>
        <v>0</v>
      </c>
      <c r="O264" s="14">
        <f ca="1">+IF(O256&gt;$I$258,1,0)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 ca="1">+K270</f>
        <v>313.68842044632839</v>
      </c>
      <c r="M267" s="54">
        <f ca="1">+L270</f>
        <v>225.91463196192365</v>
      </c>
      <c r="N267" s="54">
        <f ca="1">+M270</f>
        <v>120.88850915452724</v>
      </c>
      <c r="O267" s="54">
        <f ca="1">+N270</f>
        <v>0</v>
      </c>
    </row>
    <row r="268" spans="2:15" s="4" customFormat="1" ht="12.95" customHeight="1" x14ac:dyDescent="0.2">
      <c r="B268" s="33" t="s">
        <v>92</v>
      </c>
      <c r="G268" s="4" t="s">
        <v>97</v>
      </c>
      <c r="I268" s="219">
        <v>0.02</v>
      </c>
      <c r="K268" s="35">
        <f>-MIN($K$267*$I$268,K267)</f>
        <v>-7.787466799999998</v>
      </c>
      <c r="L268" s="35">
        <f ca="1">-MIN($K$267*$I$268,L267)</f>
        <v>-7.787466799999998</v>
      </c>
      <c r="M268" s="35">
        <f ca="1">-MIN($K$267*$I$268,M267)</f>
        <v>-7.787466799999998</v>
      </c>
      <c r="N268" s="35">
        <f ca="1">-MIN($K$267*$I$268,N267)</f>
        <v>-7.787466799999998</v>
      </c>
      <c r="O268" s="35">
        <f ca="1">-MIN($K$267*$I$268,O267)</f>
        <v>0</v>
      </c>
    </row>
    <row r="269" spans="2:15" ht="12.95" customHeight="1" x14ac:dyDescent="0.2">
      <c r="B269" s="3" t="s">
        <v>89</v>
      </c>
      <c r="C269" s="3"/>
      <c r="D269" s="3"/>
      <c r="E269" s="3"/>
      <c r="F269" s="3"/>
      <c r="G269" s="3"/>
      <c r="H269" s="3"/>
      <c r="I269" s="3"/>
      <c r="J269" s="3"/>
      <c r="K269" s="66">
        <f ca="1">-MIN(SUM(K267:K268),SUM(K238:K241))</f>
        <v>-67.897452753671487</v>
      </c>
      <c r="L269" s="66">
        <f ca="1">-MIN(SUM(L267:L268),SUM(L238:L241))</f>
        <v>-79.986321684404743</v>
      </c>
      <c r="M269" s="66">
        <f ca="1">-MIN(SUM(M267:M268),SUM(M238:M241))</f>
        <v>-97.238656007396401</v>
      </c>
      <c r="N269" s="66">
        <f ca="1">-MIN(SUM(N267:N268),SUM(N238:N241))</f>
        <v>-113.10104235452724</v>
      </c>
      <c r="O269" s="66">
        <f ca="1">-MIN(SUM(O267:O268),SUM(O238:O241))</f>
        <v>0</v>
      </c>
    </row>
    <row r="270" spans="2:15" ht="12.95" customHeight="1" x14ac:dyDescent="0.2">
      <c r="B270" s="69" t="s">
        <v>192</v>
      </c>
      <c r="C270" s="69"/>
      <c r="D270" s="69"/>
      <c r="E270" s="69"/>
      <c r="F270" s="69"/>
      <c r="G270" s="69"/>
      <c r="H270" s="4"/>
      <c r="I270" s="69"/>
      <c r="J270" s="69"/>
      <c r="K270" s="71">
        <f ca="1">SUM(K267:K269)</f>
        <v>313.68842044632839</v>
      </c>
      <c r="L270" s="71">
        <f ca="1">SUM(L267:L269)</f>
        <v>225.91463196192365</v>
      </c>
      <c r="M270" s="71">
        <f ca="1">SUM(M267:M269)</f>
        <v>120.88850915452724</v>
      </c>
      <c r="N270" s="71">
        <f ca="1">SUM(N267:N269)</f>
        <v>0</v>
      </c>
      <c r="O270" s="71">
        <f ca="1">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 ca="1">+AVERAGE(K267,K270)</f>
        <v>351.5308802231641</v>
      </c>
      <c r="L272" s="16">
        <f ca="1">+AVERAGE(L267,L270)</f>
        <v>269.80152620412605</v>
      </c>
      <c r="M272" s="16">
        <f ca="1">+AVERAGE(M267,M270)</f>
        <v>173.40157055822544</v>
      </c>
      <c r="N272" s="16">
        <f ca="1">+AVERAGE(N267,N270)</f>
        <v>60.444254577263621</v>
      </c>
      <c r="O272" s="16">
        <f ca="1">+AVERAGE(O267,O270)</f>
        <v>0</v>
      </c>
    </row>
    <row r="273" spans="2:15"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f ca="1">+IF($E$5=1,K272,0)*K273</f>
        <v>19.334198412274027</v>
      </c>
      <c r="L274" s="54">
        <f ca="1">+IF($E$5=1,L272,0)*L273</f>
        <v>14.839083941226935</v>
      </c>
      <c r="M274" s="54">
        <f ca="1">+IF($E$5=1,M272,0)*M273</f>
        <v>9.5370863807024016</v>
      </c>
      <c r="N274" s="54">
        <f ca="1">+IF($E$5=1,N272,0)*N273</f>
        <v>3.3244340017494998</v>
      </c>
      <c r="O274" s="54">
        <f ca="1">+IF($E$5=1,O272,0)*O273</f>
        <v>0</v>
      </c>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20">
        <f>+J161</f>
        <v>194.68666999999994</v>
      </c>
      <c r="L278" s="54">
        <f ca="1">+K281</f>
        <v>210.91055916666659</v>
      </c>
      <c r="M278" s="54">
        <f t="shared" ref="M278:O278" ca="1" si="22">+L281</f>
        <v>228.48643909722213</v>
      </c>
      <c r="N278" s="54">
        <f t="shared" ca="1" si="22"/>
        <v>247.5269756886573</v>
      </c>
      <c r="O278" s="54">
        <f t="shared" ca="1" si="22"/>
        <v>264.78033587676589</v>
      </c>
    </row>
    <row r="279" spans="2:15" s="4" customFormat="1" ht="12.95" customHeight="1" x14ac:dyDescent="0.2">
      <c r="B279" s="4" t="s">
        <v>109</v>
      </c>
      <c r="K279" s="222">
        <f ca="1">+IF($E$5=1,K283,0)*K284*$I$283</f>
        <v>16.223889166666662</v>
      </c>
      <c r="L279" s="62">
        <f ca="1">+IF($E$5=1,L283,0)*L284*$I$283</f>
        <v>17.575879930555548</v>
      </c>
      <c r="M279" s="62">
        <f ca="1">+IF($E$5=1,M283,0)*M284*$I$283</f>
        <v>19.040536591435178</v>
      </c>
      <c r="N279" s="62">
        <f ca="1">+IF($E$5=1,N283,0)*N284*$I$283</f>
        <v>20.49229246261693</v>
      </c>
      <c r="O279" s="62">
        <f ca="1">+IF($E$5=1,O283,0)*O284*$I$283</f>
        <v>16.195162976154954</v>
      </c>
    </row>
    <row r="280" spans="2:15" s="4" customFormat="1" ht="12.95" customHeight="1" x14ac:dyDescent="0.2">
      <c r="B280" s="3" t="s">
        <v>89</v>
      </c>
      <c r="C280" s="3"/>
      <c r="D280" s="3"/>
      <c r="E280" s="3"/>
      <c r="F280" s="3"/>
      <c r="G280" s="3"/>
      <c r="H280" s="3"/>
      <c r="I280" s="3"/>
      <c r="J280" s="3"/>
      <c r="K280" s="66">
        <f ca="1">-MIN(SUM(K278:K279),SUM(K238:K242))</f>
        <v>0</v>
      </c>
      <c r="L280" s="66">
        <f ca="1">-MIN(SUM(L278:L279),SUM(L238:L242))</f>
        <v>0</v>
      </c>
      <c r="M280" s="66">
        <f ca="1">-MIN(SUM(M278:M279),SUM(M238:M242))</f>
        <v>0</v>
      </c>
      <c r="N280" s="66">
        <f ca="1">-MIN(SUM(N278:N279),SUM(N238:N242))</f>
        <v>-3.2389322745083291</v>
      </c>
      <c r="O280" s="66">
        <f ca="1">-MIN(SUM(O278:O279),SUM(O238:O242))</f>
        <v>-140.87676032581294</v>
      </c>
    </row>
    <row r="281" spans="2:15" s="4" customFormat="1" ht="12.95" customHeight="1" x14ac:dyDescent="0.2">
      <c r="B281" s="69" t="s">
        <v>192</v>
      </c>
      <c r="C281" s="69"/>
      <c r="D281" s="69"/>
      <c r="E281" s="69"/>
      <c r="F281" s="69"/>
      <c r="G281" s="69"/>
      <c r="I281" s="69"/>
      <c r="J281" s="69"/>
      <c r="K281" s="71">
        <f ca="1">SUM(K278:K280)</f>
        <v>210.91055916666659</v>
      </c>
      <c r="L281" s="71">
        <f ca="1">SUM(L278:L280)</f>
        <v>228.48643909722213</v>
      </c>
      <c r="M281" s="71">
        <f ca="1">SUM(M278:M280)</f>
        <v>247.5269756886573</v>
      </c>
      <c r="N281" s="71">
        <f ca="1">SUM(N278:N280)</f>
        <v>264.78033587676589</v>
      </c>
      <c r="O281" s="71">
        <f ca="1">SUM(O278:O280)</f>
        <v>140.09873852710791</v>
      </c>
    </row>
    <row r="282" spans="2:15" ht="12.95" customHeight="1" x14ac:dyDescent="0.2">
      <c r="B282" s="69"/>
      <c r="C282" s="69"/>
      <c r="D282" s="69"/>
      <c r="E282" s="69"/>
      <c r="F282" s="69"/>
      <c r="G282" s="69"/>
      <c r="H282" s="4"/>
      <c r="I282" s="69"/>
      <c r="J282" s="69"/>
      <c r="K282" s="154"/>
      <c r="L282" s="154"/>
      <c r="M282" s="154"/>
      <c r="N282" s="154"/>
      <c r="O282" s="154"/>
    </row>
    <row r="283" spans="2:15" ht="12.95" customHeight="1" x14ac:dyDescent="0.2">
      <c r="B283" s="1" t="s">
        <v>91</v>
      </c>
      <c r="G283" s="1" t="s">
        <v>110</v>
      </c>
      <c r="I283" s="223">
        <v>1</v>
      </c>
      <c r="K283" s="16">
        <f ca="1">+AVERAGE(K278,K281)</f>
        <v>202.79861458333326</v>
      </c>
      <c r="L283" s="16">
        <f ca="1">+AVERAGE(L278,L281)</f>
        <v>219.69849913194435</v>
      </c>
      <c r="M283" s="16">
        <f ca="1">+AVERAGE(M278,M281)</f>
        <v>238.00670739293972</v>
      </c>
      <c r="N283" s="16">
        <f ca="1">+AVERAGE(N278,N281)</f>
        <v>256.15365578271161</v>
      </c>
      <c r="O283" s="16">
        <f ca="1">+AVERAGE(O278,O281)</f>
        <v>202.4395372019369</v>
      </c>
    </row>
    <row r="284" spans="2:15"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f ca="1">+IF($E$5=1,K283,0)*K284*(1-$I$283)</f>
        <v>0</v>
      </c>
      <c r="L285" s="54">
        <f ca="1">+IF($E$5=1,L283,0)*L284*(1-$I$283)</f>
        <v>0</v>
      </c>
      <c r="M285" s="54">
        <f ca="1">+IF($E$5=1,M283,0)*M284*(1-$I$283)</f>
        <v>0</v>
      </c>
      <c r="N285" s="54">
        <f ca="1">+IF($E$5=1,N283,0)*N284*(1-$I$283)</f>
        <v>0</v>
      </c>
      <c r="O285" s="54">
        <f ca="1">+IF($E$5=1,O283,0)*O284*(1-$I$283)</f>
        <v>0</v>
      </c>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5" s="4" customFormat="1" ht="12.95" customHeight="1" x14ac:dyDescent="0.2">
      <c r="B289" s="4" t="s">
        <v>93</v>
      </c>
      <c r="K289" s="215">
        <f>+J162</f>
        <v>486.71667499999984</v>
      </c>
      <c r="L289" s="54">
        <f ca="1">+K291</f>
        <v>486.71667499999984</v>
      </c>
      <c r="M289" s="54">
        <f ca="1">+L291</f>
        <v>486.71667499999984</v>
      </c>
      <c r="N289" s="54">
        <f ca="1">+M291</f>
        <v>486.71667499999984</v>
      </c>
      <c r="O289" s="54">
        <f ca="1">+N291</f>
        <v>486.71667499999984</v>
      </c>
    </row>
    <row r="290" spans="1:15" ht="12.95" customHeight="1" x14ac:dyDescent="0.2">
      <c r="B290" s="3" t="s">
        <v>98</v>
      </c>
      <c r="C290" s="3"/>
      <c r="D290" s="3"/>
      <c r="E290" s="3"/>
      <c r="F290" s="3"/>
      <c r="G290" s="3" t="s">
        <v>99</v>
      </c>
      <c r="H290" s="133"/>
      <c r="I290" s="224">
        <v>2026</v>
      </c>
      <c r="J290" s="3"/>
      <c r="K290" s="66">
        <f ca="1">-MIN(K289,SUM(K238:K243))*IF($I$290=K$250,1,0)</f>
        <v>0</v>
      </c>
      <c r="L290" s="66">
        <f t="shared" ref="L290:O290" ca="1" si="23">-MIN(L289,SUM(L238:L243))*IF($I$290=L$250,1,0)</f>
        <v>0</v>
      </c>
      <c r="M290" s="66">
        <f t="shared" ca="1" si="23"/>
        <v>0</v>
      </c>
      <c r="N290" s="66">
        <f t="shared" ca="1" si="23"/>
        <v>0</v>
      </c>
      <c r="O290" s="66">
        <f t="shared" ca="1" si="23"/>
        <v>0</v>
      </c>
    </row>
    <row r="291" spans="1:15" ht="12.95" customHeight="1" x14ac:dyDescent="0.2">
      <c r="B291" s="69" t="s">
        <v>192</v>
      </c>
      <c r="C291" s="69"/>
      <c r="D291" s="69"/>
      <c r="E291" s="69"/>
      <c r="F291" s="69"/>
      <c r="G291" s="69"/>
      <c r="H291" s="4"/>
      <c r="I291" s="69"/>
      <c r="J291" s="69"/>
      <c r="K291" s="71">
        <f ca="1">SUM(K289:K290)</f>
        <v>486.71667499999984</v>
      </c>
      <c r="L291" s="71">
        <f ca="1">SUM(L289:L290)</f>
        <v>486.71667499999984</v>
      </c>
      <c r="M291" s="71">
        <f ca="1">SUM(M289:M290)</f>
        <v>486.71667499999984</v>
      </c>
      <c r="N291" s="71">
        <f ca="1">SUM(N289:N290)</f>
        <v>486.71667499999984</v>
      </c>
      <c r="O291" s="71">
        <f ca="1">SUM(O289:O290)</f>
        <v>486.71667499999984</v>
      </c>
    </row>
    <row r="292" spans="1:15" ht="12.95" customHeight="1" x14ac:dyDescent="0.2">
      <c r="B292" s="69"/>
      <c r="C292" s="69"/>
      <c r="D292" s="69"/>
      <c r="E292" s="69"/>
      <c r="F292" s="69"/>
      <c r="G292" s="69"/>
      <c r="H292" s="4"/>
      <c r="I292" s="69"/>
      <c r="J292" s="69"/>
      <c r="K292" s="69"/>
      <c r="L292" s="69"/>
      <c r="M292" s="69"/>
      <c r="N292" s="69"/>
      <c r="O292" s="69"/>
    </row>
    <row r="293" spans="1:15" ht="12.95" customHeight="1" x14ac:dyDescent="0.2">
      <c r="B293" s="1" t="s">
        <v>91</v>
      </c>
      <c r="K293" s="16">
        <f ca="1">+AVERAGE(K289,K291)</f>
        <v>486.71667499999984</v>
      </c>
      <c r="L293" s="16">
        <f ca="1">+AVERAGE(L289,L291)</f>
        <v>486.71667499999984</v>
      </c>
      <c r="M293" s="16">
        <f ca="1">+AVERAGE(M289,M291)</f>
        <v>486.71667499999984</v>
      </c>
      <c r="N293" s="16">
        <f ca="1">+AVERAGE(N289,N291)</f>
        <v>486.71667499999984</v>
      </c>
      <c r="O293" s="16">
        <f ca="1">+AVERAGE(O289,O291)</f>
        <v>486.71667499999984</v>
      </c>
    </row>
    <row r="294" spans="1:15" s="4" customFormat="1" ht="12.95" customHeight="1" x14ac:dyDescent="0.2">
      <c r="B294" s="4" t="s">
        <v>21</v>
      </c>
      <c r="G294" s="4" t="s">
        <v>111</v>
      </c>
      <c r="I294" s="225">
        <v>0.1</v>
      </c>
      <c r="K294" s="54">
        <f ca="1">+IF($E$5=1,K293,0)*$I$294</f>
        <v>48.671667499999984</v>
      </c>
      <c r="L294" s="54">
        <f ca="1">+IF($E$5=1,L293,0)*$I$294</f>
        <v>48.671667499999984</v>
      </c>
      <c r="M294" s="54">
        <f ca="1">+IF($E$5=1,M293,0)*$I$294</f>
        <v>48.671667499999984</v>
      </c>
      <c r="N294" s="54">
        <f ca="1">+IF($E$5=1,N293,0)*$I$294</f>
        <v>48.671667499999984</v>
      </c>
      <c r="O294" s="54">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206"/>
      <c r="M299" s="206"/>
      <c r="N299" s="206"/>
      <c r="O299" s="206"/>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54">
        <f>+J139</f>
        <v>0</v>
      </c>
      <c r="L301" s="54">
        <f ca="1">+K139</f>
        <v>5</v>
      </c>
      <c r="M301" s="54">
        <f ca="1">+L139</f>
        <v>5</v>
      </c>
      <c r="N301" s="54">
        <f ca="1">+M139</f>
        <v>5</v>
      </c>
      <c r="O301" s="54">
        <f ca="1">+N139</f>
        <v>5</v>
      </c>
    </row>
    <row r="302" spans="1:15" s="4" customFormat="1" ht="12.95" customHeight="1" x14ac:dyDescent="0.2">
      <c r="B302" s="3" t="s">
        <v>106</v>
      </c>
      <c r="C302" s="3"/>
      <c r="D302" s="3"/>
      <c r="E302" s="3"/>
      <c r="F302" s="3"/>
      <c r="G302" s="3"/>
      <c r="H302" s="3"/>
      <c r="I302" s="3"/>
      <c r="J302" s="3"/>
      <c r="K302" s="66">
        <f ca="1">+K303-K301</f>
        <v>5</v>
      </c>
      <c r="L302" s="66">
        <f ca="1">+L303-L301</f>
        <v>0</v>
      </c>
      <c r="M302" s="66">
        <f ca="1">+M303-M301</f>
        <v>0</v>
      </c>
      <c r="N302" s="66">
        <f ca="1">+N303-N301</f>
        <v>0</v>
      </c>
      <c r="O302" s="66">
        <f ca="1">+O303-O301</f>
        <v>0</v>
      </c>
    </row>
    <row r="303" spans="1:15" s="69" customFormat="1" ht="12.95" customHeight="1" x14ac:dyDescent="0.2">
      <c r="B303" s="69" t="s">
        <v>192</v>
      </c>
      <c r="K303" s="71">
        <f ca="1">+K139</f>
        <v>5</v>
      </c>
      <c r="L303" s="71">
        <f ca="1">+L139</f>
        <v>5</v>
      </c>
      <c r="M303" s="71">
        <f ca="1">+M139</f>
        <v>5</v>
      </c>
      <c r="N303" s="71">
        <f ca="1">+N139</f>
        <v>5</v>
      </c>
      <c r="O303" s="71">
        <f ca="1">+O139</f>
        <v>5</v>
      </c>
    </row>
    <row r="304" spans="1:15" s="4" customFormat="1" ht="12.95" customHeight="1" x14ac:dyDescent="0.2"/>
    <row r="305" spans="1:15" ht="12.95" customHeight="1" x14ac:dyDescent="0.2">
      <c r="B305" s="4" t="s">
        <v>91</v>
      </c>
      <c r="C305" s="4"/>
      <c r="D305" s="4"/>
      <c r="E305" s="4"/>
      <c r="F305" s="4"/>
      <c r="G305" s="4"/>
      <c r="H305" s="4"/>
      <c r="I305" s="4"/>
      <c r="J305" s="4"/>
      <c r="K305" s="35">
        <f ca="1">+AVERAGE(K301,K303)</f>
        <v>2.5</v>
      </c>
      <c r="L305" s="35">
        <f ca="1">+AVERAGE(L301,L303)</f>
        <v>5</v>
      </c>
      <c r="M305" s="35">
        <f ca="1">+AVERAGE(M301,M303)</f>
        <v>5</v>
      </c>
      <c r="N305" s="35">
        <f ca="1">+AVERAGE(N301,N303)</f>
        <v>5</v>
      </c>
      <c r="O305" s="35">
        <f ca="1">+AVERAGE(O301,O303)</f>
        <v>5</v>
      </c>
    </row>
    <row r="306" spans="1:15" ht="12.95" customHeight="1" x14ac:dyDescent="0.2">
      <c r="B306" s="1" t="s">
        <v>107</v>
      </c>
      <c r="G306" s="85" t="s">
        <v>193</v>
      </c>
      <c r="H306" s="4"/>
      <c r="I306" s="225">
        <v>0.01</v>
      </c>
      <c r="K306" s="15">
        <f ca="1">+IF($E$5=1,K305,0)*$I$306</f>
        <v>2.5000000000000001E-2</v>
      </c>
      <c r="L306" s="15">
        <f ca="1">+IF($E$5=1,L305,0)*$I$306</f>
        <v>0.05</v>
      </c>
      <c r="M306" s="15">
        <f ca="1">+IF($E$5=1,M305,0)*$I$306</f>
        <v>0.05</v>
      </c>
      <c r="N306" s="15">
        <f ca="1">+IF($E$5=1,N305,0)*$I$306</f>
        <v>0.05</v>
      </c>
      <c r="O306" s="15">
        <f ca="1">+IF($E$5=1,O305,0)*$I$306</f>
        <v>0.05</v>
      </c>
    </row>
    <row r="307" spans="1:15" s="4" customFormat="1" ht="12.95" customHeight="1" x14ac:dyDescent="0.2">
      <c r="B307" s="3"/>
      <c r="C307" s="3"/>
      <c r="D307" s="3"/>
      <c r="E307" s="3"/>
      <c r="F307" s="3"/>
      <c r="G307" s="3"/>
      <c r="H307" s="3"/>
      <c r="I307" s="3"/>
      <c r="J307" s="3"/>
      <c r="K307" s="3"/>
      <c r="L307" s="3"/>
      <c r="M307" s="3"/>
      <c r="N307" s="3"/>
      <c r="O307" s="3"/>
    </row>
    <row r="309" spans="1:15" ht="12.95" customHeight="1" x14ac:dyDescent="0.2">
      <c r="B309" s="1" t="s">
        <v>197</v>
      </c>
    </row>
    <row r="310" spans="1:15" ht="12.95" customHeight="1" x14ac:dyDescent="0.2">
      <c r="B310" s="1" t="str">
        <f>+B253&amp;" - Commitment Fee"</f>
        <v>Revolving Credit Facility - Commitment Fee</v>
      </c>
      <c r="K310" s="15">
        <f ca="1">+K261</f>
        <v>0.25</v>
      </c>
      <c r="L310" s="15">
        <f ca="1">+L261</f>
        <v>0.25</v>
      </c>
      <c r="M310" s="15">
        <f ca="1">+M261</f>
        <v>0.25</v>
      </c>
      <c r="N310" s="15">
        <f ca="1">+N261</f>
        <v>0.25</v>
      </c>
      <c r="O310" s="15">
        <f ca="1">+O261</f>
        <v>0.25</v>
      </c>
    </row>
    <row r="311" spans="1:15" ht="12.95" customHeight="1" x14ac:dyDescent="0.2">
      <c r="B311" s="1" t="str">
        <f>+B253&amp;" - Drawn Interest Expense"</f>
        <v>Revolving Credit Facility - Drawn Interest Expense</v>
      </c>
      <c r="K311" s="16">
        <f ca="1">+K260</f>
        <v>0</v>
      </c>
      <c r="L311" s="16">
        <f ca="1">+L260</f>
        <v>0</v>
      </c>
      <c r="M311" s="16">
        <f ca="1">+M260</f>
        <v>0</v>
      </c>
      <c r="N311" s="16">
        <f ca="1">+N260</f>
        <v>0</v>
      </c>
      <c r="O311" s="16">
        <f ca="1">+O260</f>
        <v>0</v>
      </c>
    </row>
    <row r="312" spans="1:15" ht="12.95" customHeight="1" x14ac:dyDescent="0.2">
      <c r="B312" s="1" t="str">
        <f>+B266</f>
        <v>First Lien Term Loan</v>
      </c>
      <c r="K312" s="16">
        <f ca="1">+K274</f>
        <v>19.334198412274027</v>
      </c>
      <c r="L312" s="16">
        <f ca="1">+L274</f>
        <v>14.839083941226935</v>
      </c>
      <c r="M312" s="16">
        <f ca="1">+M274</f>
        <v>9.5370863807024016</v>
      </c>
      <c r="N312" s="16">
        <f ca="1">+N274</f>
        <v>3.3244340017494998</v>
      </c>
      <c r="O312" s="16">
        <f ca="1">+O274</f>
        <v>0</v>
      </c>
    </row>
    <row r="313" spans="1:15" ht="12.95" customHeight="1" x14ac:dyDescent="0.2">
      <c r="B313" s="1" t="str">
        <f>+B277</f>
        <v>Second Lien Term Loan</v>
      </c>
      <c r="K313" s="16">
        <f ca="1">+K285</f>
        <v>0</v>
      </c>
      <c r="L313" s="16">
        <f ca="1">+L285</f>
        <v>0</v>
      </c>
      <c r="M313" s="16">
        <f ca="1">+M285</f>
        <v>0</v>
      </c>
      <c r="N313" s="16">
        <f ca="1">+N285</f>
        <v>0</v>
      </c>
      <c r="O313" s="16">
        <f ca="1">+O285</f>
        <v>0</v>
      </c>
    </row>
    <row r="314" spans="1:15" ht="12.95" customHeight="1" x14ac:dyDescent="0.2">
      <c r="B314" s="4" t="str">
        <f>+B288</f>
        <v>Notes</v>
      </c>
      <c r="C314" s="4"/>
      <c r="D314" s="4"/>
      <c r="E314" s="4"/>
      <c r="F314" s="4"/>
      <c r="G314" s="4"/>
      <c r="H314" s="4"/>
      <c r="I314" s="4"/>
      <c r="J314" s="4"/>
      <c r="K314" s="35">
        <f ca="1">+K294</f>
        <v>48.671667499999984</v>
      </c>
      <c r="L314" s="35">
        <f ca="1">+L294</f>
        <v>48.671667499999984</v>
      </c>
      <c r="M314" s="35">
        <f ca="1">+M294</f>
        <v>48.671667499999984</v>
      </c>
      <c r="N314" s="35">
        <f ca="1">+N294</f>
        <v>48.671667499999984</v>
      </c>
      <c r="O314" s="35">
        <f ca="1">+O294</f>
        <v>48.671667499999984</v>
      </c>
    </row>
    <row r="315" spans="1:15" ht="12.95" customHeight="1" x14ac:dyDescent="0.2">
      <c r="B315" s="226" t="s">
        <v>112</v>
      </c>
      <c r="C315" s="226"/>
      <c r="D315" s="226"/>
      <c r="E315" s="226"/>
      <c r="F315" s="226"/>
      <c r="G315" s="226"/>
      <c r="H315" s="226"/>
      <c r="I315" s="226"/>
      <c r="J315" s="226"/>
      <c r="K315" s="37">
        <f ca="1">SUM(K310:K314)</f>
        <v>68.255865912274004</v>
      </c>
      <c r="L315" s="37">
        <f ca="1">SUM(L310:L314)</f>
        <v>63.760751441226915</v>
      </c>
      <c r="M315" s="37">
        <f ca="1">SUM(M310:M314)</f>
        <v>58.458753880702389</v>
      </c>
      <c r="N315" s="37">
        <f ca="1">SUM(N310:N314)</f>
        <v>52.246101501749486</v>
      </c>
      <c r="O315" s="37">
        <f ca="1">SUM(O310:O314)</f>
        <v>48.921667499999984</v>
      </c>
    </row>
    <row r="316" spans="1:15" ht="12.95" customHeight="1" x14ac:dyDescent="0.2">
      <c r="B316" s="3" t="s">
        <v>113</v>
      </c>
      <c r="C316" s="3"/>
      <c r="D316" s="3"/>
      <c r="E316" s="3"/>
      <c r="F316" s="3"/>
      <c r="G316" s="3"/>
      <c r="H316" s="3"/>
      <c r="I316" s="3"/>
      <c r="J316" s="3"/>
      <c r="K316" s="62">
        <f ca="1">+K279</f>
        <v>16.223889166666662</v>
      </c>
      <c r="L316" s="62">
        <f t="shared" ref="L316:O316" ca="1" si="24">+L279</f>
        <v>17.575879930555548</v>
      </c>
      <c r="M316" s="62">
        <f t="shared" ca="1" si="24"/>
        <v>19.040536591435178</v>
      </c>
      <c r="N316" s="62">
        <f t="shared" ca="1" si="24"/>
        <v>20.49229246261693</v>
      </c>
      <c r="O316" s="62">
        <f t="shared" ca="1" si="24"/>
        <v>16.195162976154954</v>
      </c>
    </row>
    <row r="317" spans="1:15" s="76" customFormat="1" ht="12.95" customHeight="1" x14ac:dyDescent="0.2">
      <c r="B317" s="69" t="s">
        <v>108</v>
      </c>
      <c r="C317" s="69"/>
      <c r="D317" s="69"/>
      <c r="E317" s="69"/>
      <c r="F317" s="69"/>
      <c r="G317" s="69"/>
      <c r="H317" s="69"/>
      <c r="I317" s="69"/>
      <c r="J317" s="69"/>
      <c r="K317" s="96">
        <f ca="1">+SUM(K315:K316)</f>
        <v>84.47975507894067</v>
      </c>
      <c r="L317" s="96">
        <f ca="1">+SUM(L315:L316)</f>
        <v>81.33663137178246</v>
      </c>
      <c r="M317" s="96">
        <f ca="1">+SUM(M315:M316)</f>
        <v>77.499290472137574</v>
      </c>
      <c r="N317" s="96">
        <f ca="1">+SUM(N315:N316)</f>
        <v>72.738393964366423</v>
      </c>
      <c r="O317" s="96">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5" ht="12.95" customHeight="1" x14ac:dyDescent="0.35">
      <c r="K321" s="10" t="str">
        <f>+$K$32</f>
        <v>Fiscal Year Ended 12/31</v>
      </c>
      <c r="L321" s="11"/>
      <c r="M321" s="11"/>
      <c r="N321" s="11"/>
      <c r="O321" s="11"/>
    </row>
    <row r="322" spans="2:15" ht="12.95" customHeight="1" x14ac:dyDescent="0.2">
      <c r="K322" s="13">
        <f>+K138</f>
        <v>2020</v>
      </c>
      <c r="L322" s="13">
        <f>+K322+1</f>
        <v>2021</v>
      </c>
      <c r="M322" s="13">
        <f>+L322+1</f>
        <v>2022</v>
      </c>
      <c r="N322" s="13">
        <f>+M322+1</f>
        <v>2023</v>
      </c>
      <c r="O322" s="13">
        <f>+N322+1</f>
        <v>2024</v>
      </c>
    </row>
    <row r="323" spans="2:15" ht="12.95" customHeight="1" x14ac:dyDescent="0.2">
      <c r="B323" s="1" t="s">
        <v>35</v>
      </c>
      <c r="K323" s="54">
        <f>+K120</f>
        <v>211.13616104999991</v>
      </c>
      <c r="L323" s="54">
        <f t="shared" ref="L323:O323" si="25">+L120</f>
        <v>231.22441616399993</v>
      </c>
      <c r="M323" s="54">
        <f t="shared" si="25"/>
        <v>253.09045980481494</v>
      </c>
      <c r="N323" s="54">
        <f t="shared" si="25"/>
        <v>276.88474991614049</v>
      </c>
      <c r="O323" s="54">
        <f t="shared" si="25"/>
        <v>302.770097390008</v>
      </c>
    </row>
    <row r="324" spans="2:15" ht="12.95" customHeight="1" x14ac:dyDescent="0.2">
      <c r="B324" s="4" t="s">
        <v>200</v>
      </c>
      <c r="C324" s="4"/>
      <c r="D324" s="4"/>
      <c r="E324" s="4"/>
      <c r="F324" s="4"/>
      <c r="G324" s="4"/>
      <c r="H324" s="4"/>
      <c r="I324" s="4"/>
      <c r="J324" s="4"/>
      <c r="K324" s="253">
        <f>+$M$19</f>
        <v>10</v>
      </c>
      <c r="L324" s="253">
        <f>+$M$19</f>
        <v>10</v>
      </c>
      <c r="M324" s="253">
        <f>+$M$19</f>
        <v>10</v>
      </c>
      <c r="N324" s="253">
        <f>+$M$19</f>
        <v>10</v>
      </c>
      <c r="O324" s="253">
        <f>+$M$19</f>
        <v>10</v>
      </c>
    </row>
    <row r="325" spans="2:15" ht="12.95" customHeight="1" x14ac:dyDescent="0.2">
      <c r="B325" s="226" t="s">
        <v>201</v>
      </c>
      <c r="C325" s="226"/>
      <c r="D325" s="226"/>
      <c r="E325" s="226"/>
      <c r="F325" s="226"/>
      <c r="G325" s="226"/>
      <c r="H325" s="226"/>
      <c r="I325" s="226"/>
      <c r="J325" s="226"/>
      <c r="K325" s="37">
        <f>+K323*K324</f>
        <v>2111.3616104999992</v>
      </c>
      <c r="L325" s="37">
        <f t="shared" ref="L325:O325" si="26">+L323*L324</f>
        <v>2312.2441616399992</v>
      </c>
      <c r="M325" s="37">
        <f t="shared" si="26"/>
        <v>2530.9045980481496</v>
      </c>
      <c r="N325" s="37">
        <f t="shared" si="26"/>
        <v>2768.8474991614048</v>
      </c>
      <c r="O325" s="37">
        <f t="shared" si="26"/>
        <v>3027.70097390008</v>
      </c>
    </row>
    <row r="326" spans="2:15" ht="12.95" customHeight="1" x14ac:dyDescent="0.2">
      <c r="B326" s="1" t="s">
        <v>202</v>
      </c>
      <c r="K326" s="16">
        <f ca="1">-K163</f>
        <v>-1011.3156546129949</v>
      </c>
      <c r="L326" s="16">
        <f t="shared" ref="L326:O326" ca="1" si="27">-L163</f>
        <v>-941.1177460591457</v>
      </c>
      <c r="M326" s="16">
        <f t="shared" ca="1" si="27"/>
        <v>-855.13215984318435</v>
      </c>
      <c r="N326" s="16">
        <f t="shared" ca="1" si="27"/>
        <v>-751.49701087676567</v>
      </c>
      <c r="O326" s="16">
        <f t="shared" ca="1" si="27"/>
        <v>-626.81541352710769</v>
      </c>
    </row>
    <row r="327" spans="2:15" ht="12.95" customHeight="1" x14ac:dyDescent="0.2">
      <c r="B327" s="4" t="s">
        <v>203</v>
      </c>
      <c r="C327" s="4"/>
      <c r="D327" s="4"/>
      <c r="E327" s="4"/>
      <c r="F327" s="4"/>
      <c r="G327" s="4"/>
      <c r="H327" s="4"/>
      <c r="I327" s="4"/>
      <c r="J327" s="4"/>
      <c r="K327" s="35">
        <f ca="1">+K139</f>
        <v>5</v>
      </c>
      <c r="L327" s="35">
        <f t="shared" ref="L327:O327" ca="1" si="28">+L139</f>
        <v>5</v>
      </c>
      <c r="M327" s="35">
        <f t="shared" ca="1" si="28"/>
        <v>5</v>
      </c>
      <c r="N327" s="35">
        <f t="shared" ca="1" si="28"/>
        <v>5</v>
      </c>
      <c r="O327" s="35">
        <f t="shared" ca="1" si="28"/>
        <v>5</v>
      </c>
    </row>
    <row r="328" spans="2:15" ht="12.95" customHeight="1" x14ac:dyDescent="0.2">
      <c r="B328" s="226" t="s">
        <v>204</v>
      </c>
      <c r="C328" s="226"/>
      <c r="D328" s="226"/>
      <c r="E328" s="226"/>
      <c r="F328" s="226"/>
      <c r="G328" s="226"/>
      <c r="H328" s="226"/>
      <c r="I328" s="226"/>
      <c r="J328" s="226"/>
      <c r="K328" s="37">
        <f ca="1">+SUM(K325:K327)</f>
        <v>1105.0459558870043</v>
      </c>
      <c r="L328" s="37">
        <f t="shared" ref="L328:O328" ca="1" si="29">+SUM(L325:L327)</f>
        <v>1376.1264155808535</v>
      </c>
      <c r="M328" s="37">
        <f t="shared" ca="1" si="29"/>
        <v>1680.7724382049653</v>
      </c>
      <c r="N328" s="37">
        <f t="shared" ca="1" si="29"/>
        <v>2022.3504882846391</v>
      </c>
      <c r="O328" s="37">
        <f t="shared" ca="1" si="29"/>
        <v>2405.8855603729726</v>
      </c>
    </row>
    <row r="329" spans="2:15" ht="12.95" customHeight="1" x14ac:dyDescent="0.2">
      <c r="B329" s="3" t="s">
        <v>336</v>
      </c>
      <c r="C329" s="3"/>
      <c r="D329" s="3"/>
      <c r="E329" s="3"/>
      <c r="F329" s="3"/>
      <c r="G329" s="3"/>
      <c r="H329" s="3"/>
      <c r="I329" s="3"/>
      <c r="J329" s="3"/>
      <c r="K329" s="66">
        <f>-$F$52</f>
        <v>-977.38021669999966</v>
      </c>
      <c r="L329" s="66">
        <f>-$F$52</f>
        <v>-977.38021669999966</v>
      </c>
      <c r="M329" s="66">
        <f>-$F$52</f>
        <v>-977.38021669999966</v>
      </c>
      <c r="N329" s="66">
        <f>-$F$52</f>
        <v>-977.38021669999966</v>
      </c>
      <c r="O329" s="66">
        <f>-$F$52</f>
        <v>-977.38021669999966</v>
      </c>
    </row>
    <row r="330" spans="2:15" ht="12.95" customHeight="1" x14ac:dyDescent="0.2">
      <c r="B330" s="69" t="s">
        <v>207</v>
      </c>
      <c r="C330" s="69"/>
      <c r="D330" s="69"/>
      <c r="E330" s="69"/>
      <c r="F330" s="69"/>
      <c r="G330" s="69"/>
      <c r="H330" s="69"/>
      <c r="I330" s="69"/>
      <c r="J330" s="69"/>
      <c r="K330" s="71">
        <f ca="1">+MAX(SUM(K328:K329),0)</f>
        <v>127.66573918700465</v>
      </c>
      <c r="L330" s="71">
        <f t="shared" ref="L330:O330" ca="1" si="30">+MAX(SUM(L328:L329),0)</f>
        <v>398.74619888085385</v>
      </c>
      <c r="M330" s="71">
        <f t="shared" ca="1" si="30"/>
        <v>703.39222150496562</v>
      </c>
      <c r="N330" s="71">
        <f t="shared" ca="1" si="30"/>
        <v>1044.9702715846395</v>
      </c>
      <c r="O330" s="71">
        <f t="shared" ca="1" si="30"/>
        <v>1428.5053436729729</v>
      </c>
    </row>
    <row r="332" spans="2:15" ht="12.95" customHeight="1" x14ac:dyDescent="0.2">
      <c r="F332" s="1" t="s">
        <v>205</v>
      </c>
      <c r="J332" s="250">
        <f>+M28</f>
        <v>0.1</v>
      </c>
      <c r="K332" s="15">
        <f ca="1">+K330*$J$332</f>
        <v>12.766573918700466</v>
      </c>
      <c r="L332" s="15">
        <f t="shared" ref="L332:O332" ca="1" si="31">+L330*$J$332</f>
        <v>39.874619888085391</v>
      </c>
      <c r="M332" s="15">
        <f t="shared" ca="1" si="31"/>
        <v>70.339222150496568</v>
      </c>
      <c r="N332" s="15">
        <f t="shared" ca="1" si="31"/>
        <v>104.49702715846395</v>
      </c>
      <c r="O332" s="15">
        <f t="shared" ca="1" si="31"/>
        <v>142.85053436729729</v>
      </c>
    </row>
    <row r="334" spans="2:15" ht="12.95" customHeight="1" x14ac:dyDescent="0.2">
      <c r="F334" s="1" t="s">
        <v>208</v>
      </c>
      <c r="K334" s="254">
        <f ca="1">+K328-K332</f>
        <v>1092.2793819683038</v>
      </c>
      <c r="L334" s="254">
        <f t="shared" ref="L334:O334" ca="1" si="32">+L328-L332</f>
        <v>1336.2517956927682</v>
      </c>
      <c r="M334" s="254">
        <f t="shared" ca="1" si="32"/>
        <v>1610.4332160544686</v>
      </c>
      <c r="N334" s="254">
        <f t="shared" ca="1" si="32"/>
        <v>1917.8534611261753</v>
      </c>
      <c r="O334" s="254">
        <f t="shared" ca="1" si="32"/>
        <v>2263.0350260056753</v>
      </c>
    </row>
    <row r="335" spans="2:15" customFormat="1" ht="3" customHeight="1" x14ac:dyDescent="0.25"/>
    <row r="336" spans="2:15"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f ca="1">+IRR(J338:O338)</f>
        <v>0.11755830873705064</v>
      </c>
      <c r="H338" s="259">
        <f ca="1">+SUM(K338:O338)/-J338</f>
        <v>1.1175583087370509</v>
      </c>
      <c r="J338" s="255">
        <f>-$F$52</f>
        <v>-977.38021669999966</v>
      </c>
      <c r="K338" s="256">
        <f t="shared" ref="K338:O342" ca="1" si="33">+IF(K$322=$F338,K$334,0)</f>
        <v>1092.2793819683038</v>
      </c>
      <c r="L338" s="256">
        <f t="shared" si="33"/>
        <v>0</v>
      </c>
      <c r="M338" s="256">
        <f t="shared" si="33"/>
        <v>0</v>
      </c>
      <c r="N338" s="256">
        <f t="shared" si="33"/>
        <v>0</v>
      </c>
      <c r="O338" s="257">
        <f t="shared" si="33"/>
        <v>0</v>
      </c>
    </row>
    <row r="339" spans="6:15" ht="12.95" customHeight="1" x14ac:dyDescent="0.2">
      <c r="F339" s="252">
        <v>2021</v>
      </c>
      <c r="G339" s="258">
        <f ca="1">+IRR(J339:O339)</f>
        <v>0.16926346225305466</v>
      </c>
      <c r="H339" s="259">
        <f ca="1">+SUM(K339:O339)/-J339</f>
        <v>1.3671770441645041</v>
      </c>
      <c r="J339" s="104">
        <f>-$F$52</f>
        <v>-977.38021669999966</v>
      </c>
      <c r="K339" s="16">
        <f t="shared" si="33"/>
        <v>0</v>
      </c>
      <c r="L339" s="16">
        <f t="shared" ca="1" si="33"/>
        <v>1336.2517956927682</v>
      </c>
      <c r="M339" s="16">
        <f t="shared" si="33"/>
        <v>0</v>
      </c>
      <c r="N339" s="16">
        <f t="shared" si="33"/>
        <v>0</v>
      </c>
      <c r="O339" s="236">
        <f t="shared" si="33"/>
        <v>0</v>
      </c>
    </row>
    <row r="340" spans="6:15" ht="12.95" customHeight="1" x14ac:dyDescent="0.2">
      <c r="F340" s="252">
        <v>2022</v>
      </c>
      <c r="G340" s="258">
        <f ca="1">+IRR(J340:O340)</f>
        <v>0.18111737540040695</v>
      </c>
      <c r="H340" s="259">
        <f ca="1">+SUM(K340:O340)/-J340</f>
        <v>1.6477039217060194</v>
      </c>
      <c r="J340" s="104">
        <f>-$F$52</f>
        <v>-977.38021669999966</v>
      </c>
      <c r="K340" s="16">
        <f t="shared" si="33"/>
        <v>0</v>
      </c>
      <c r="L340" s="16">
        <f t="shared" si="33"/>
        <v>0</v>
      </c>
      <c r="M340" s="16">
        <f t="shared" ca="1" si="33"/>
        <v>1610.4332160544686</v>
      </c>
      <c r="N340" s="16">
        <f t="shared" si="33"/>
        <v>0</v>
      </c>
      <c r="O340" s="236">
        <f t="shared" si="33"/>
        <v>0</v>
      </c>
    </row>
    <row r="341" spans="6:15" ht="12.95" customHeight="1" x14ac:dyDescent="0.2">
      <c r="F341" s="252">
        <v>2023</v>
      </c>
      <c r="G341" s="258">
        <f ca="1">+IRR(J341:O341)</f>
        <v>0.18355370455189535</v>
      </c>
      <c r="H341" s="259">
        <f ca="1">+SUM(K341:O341)/-J341</f>
        <v>1.9622388793601371</v>
      </c>
      <c r="J341" s="104">
        <f>-$F$52</f>
        <v>-977.38021669999966</v>
      </c>
      <c r="K341" s="16">
        <f t="shared" si="33"/>
        <v>0</v>
      </c>
      <c r="L341" s="16">
        <f t="shared" si="33"/>
        <v>0</v>
      </c>
      <c r="M341" s="16">
        <f t="shared" si="33"/>
        <v>0</v>
      </c>
      <c r="N341" s="16">
        <f t="shared" ca="1" si="33"/>
        <v>1917.8534611261753</v>
      </c>
      <c r="O341" s="236">
        <f t="shared" si="33"/>
        <v>0</v>
      </c>
    </row>
    <row r="342" spans="6:15" ht="12.95" customHeight="1" x14ac:dyDescent="0.2">
      <c r="F342" s="252">
        <v>2024</v>
      </c>
      <c r="G342" s="258">
        <f ca="1">+IRR(J342:O342)</f>
        <v>0.18283875727886101</v>
      </c>
      <c r="H342" s="259">
        <f ca="1">+SUM(K342:O342)/-J342</f>
        <v>2.315409077591652</v>
      </c>
      <c r="J342" s="105">
        <f>-$F$52</f>
        <v>-977.38021669999966</v>
      </c>
      <c r="K342" s="66">
        <f t="shared" si="33"/>
        <v>0</v>
      </c>
      <c r="L342" s="66">
        <f t="shared" si="33"/>
        <v>0</v>
      </c>
      <c r="M342" s="66">
        <f t="shared" si="33"/>
        <v>0</v>
      </c>
      <c r="N342" s="66">
        <f t="shared" si="33"/>
        <v>0</v>
      </c>
      <c r="O342" s="237">
        <f t="shared" ca="1" si="33"/>
        <v>2263.0350260056753</v>
      </c>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2779A-0A64-4B4A-BD2D-8051A53615E7}">
  <dimension ref="A2:X342"/>
  <sheetViews>
    <sheetView showGridLines="0" topLeftCell="A4" zoomScaleNormal="100" zoomScaleSheetLayoutView="85" workbookViewId="0">
      <selection activeCell="I10" sqref="I10"/>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141">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f>+H104</f>
        <v>900</v>
      </c>
      <c r="I59" s="71">
        <f t="shared" ref="I59:O59" si="2">+I104</f>
        <v>963</v>
      </c>
      <c r="J59" s="271">
        <f t="shared" si="2"/>
        <v>1030.4100000000001</v>
      </c>
      <c r="K59" s="71">
        <f t="shared" si="2"/>
        <v>1102.5387000000001</v>
      </c>
      <c r="L59" s="71">
        <f t="shared" si="2"/>
        <v>1179.7164090000001</v>
      </c>
      <c r="M59" s="71">
        <f t="shared" si="2"/>
        <v>1262.2965576300003</v>
      </c>
      <c r="N59" s="71">
        <f t="shared" si="2"/>
        <v>1350.6573166641003</v>
      </c>
      <c r="O59" s="71">
        <f t="shared" si="2"/>
        <v>1445.2033288305875</v>
      </c>
    </row>
    <row r="60" spans="1:15" s="78" customFormat="1" ht="12.95" customHeight="1" x14ac:dyDescent="0.2">
      <c r="B60" s="268" t="s">
        <v>294</v>
      </c>
      <c r="I60" s="79">
        <f>+I59/H59-1</f>
        <v>7.0000000000000062E-2</v>
      </c>
      <c r="J60" s="272">
        <f t="shared" ref="J60:O60" si="3">+J59/I59-1</f>
        <v>7.0000000000000062E-2</v>
      </c>
      <c r="K60" s="269">
        <f t="shared" si="3"/>
        <v>7.0000000000000062E-2</v>
      </c>
      <c r="L60" s="79">
        <f t="shared" si="3"/>
        <v>7.0000000000000062E-2</v>
      </c>
      <c r="M60" s="79">
        <f t="shared" si="3"/>
        <v>7.0000000000000062E-2</v>
      </c>
      <c r="N60" s="79">
        <f t="shared" si="3"/>
        <v>7.0000000000000062E-2</v>
      </c>
      <c r="O60" s="79">
        <f t="shared" si="3"/>
        <v>7.0000000000000062E-2</v>
      </c>
    </row>
    <row r="61" spans="1:15" ht="12.95" customHeight="1" x14ac:dyDescent="0.2">
      <c r="B61" s="76" t="s">
        <v>160</v>
      </c>
      <c r="C61" s="76"/>
      <c r="D61" s="76"/>
      <c r="E61" s="76"/>
      <c r="F61" s="76"/>
      <c r="G61" s="76"/>
      <c r="H61" s="31">
        <f>+H120</f>
        <v>173.49999999999997</v>
      </c>
      <c r="I61" s="31">
        <f t="shared" ref="I61:O61" si="4">+I120</f>
        <v>184.11799999999999</v>
      </c>
      <c r="J61" s="271">
        <f t="shared" si="4"/>
        <v>194.68666999999994</v>
      </c>
      <c r="K61" s="71">
        <f t="shared" si="4"/>
        <v>211.13616104999991</v>
      </c>
      <c r="L61" s="31">
        <f t="shared" si="4"/>
        <v>231.22441616399993</v>
      </c>
      <c r="M61" s="31">
        <f t="shared" si="4"/>
        <v>253.09045980481494</v>
      </c>
      <c r="N61" s="31">
        <f t="shared" si="4"/>
        <v>276.88474991614049</v>
      </c>
      <c r="O61" s="31">
        <f t="shared" si="4"/>
        <v>302.770097390008</v>
      </c>
    </row>
    <row r="62" spans="1:15" s="78" customFormat="1" ht="12.95" customHeight="1" x14ac:dyDescent="0.2">
      <c r="B62" s="268" t="s">
        <v>295</v>
      </c>
      <c r="H62" s="79">
        <f>+H61/H59</f>
        <v>0.19277777777777774</v>
      </c>
      <c r="I62" s="79">
        <f t="shared" ref="I62:O62" si="5">+I61/I59</f>
        <v>0.19119210799584632</v>
      </c>
      <c r="J62" s="272">
        <f t="shared" si="5"/>
        <v>0.18894097495171816</v>
      </c>
      <c r="K62" s="269">
        <f t="shared" si="5"/>
        <v>0.19149999999999992</v>
      </c>
      <c r="L62" s="79">
        <f t="shared" si="5"/>
        <v>0.19599999999999992</v>
      </c>
      <c r="M62" s="79">
        <f t="shared" si="5"/>
        <v>0.2004999999999999</v>
      </c>
      <c r="N62" s="79">
        <f t="shared" si="5"/>
        <v>0.20499999999999993</v>
      </c>
      <c r="O62" s="79">
        <f t="shared" si="5"/>
        <v>0.20949999999999996</v>
      </c>
    </row>
    <row r="63" spans="1:15" ht="12.95" customHeight="1" x14ac:dyDescent="0.2">
      <c r="J63" s="131"/>
      <c r="K63" s="4"/>
    </row>
    <row r="64" spans="1:15" ht="12.95" customHeight="1" x14ac:dyDescent="0.2">
      <c r="B64" s="1" t="s">
        <v>162</v>
      </c>
      <c r="J64" s="131"/>
      <c r="K64" s="54">
        <f ca="1">+K315-K306</f>
        <v>68.230865912273998</v>
      </c>
      <c r="L64" s="15">
        <f t="shared" ref="L64:O64" ca="1" si="6">+L315-L306</f>
        <v>63.710751441226918</v>
      </c>
      <c r="M64" s="15">
        <f t="shared" ca="1" si="6"/>
        <v>58.408753880702392</v>
      </c>
      <c r="N64" s="15">
        <f t="shared" ca="1" si="6"/>
        <v>52.196101501749489</v>
      </c>
      <c r="O64" s="15">
        <f t="shared" ca="1" si="6"/>
        <v>48.871667499999987</v>
      </c>
    </row>
    <row r="65" spans="2:15" ht="12.95" customHeight="1" x14ac:dyDescent="0.2">
      <c r="B65" s="1" t="s">
        <v>71</v>
      </c>
      <c r="J65" s="131"/>
      <c r="K65" s="54">
        <f>+K123</f>
        <v>45.755356050000003</v>
      </c>
      <c r="L65" s="15">
        <f t="shared" ref="L65:O65" si="7">+L123</f>
        <v>49.548089178000005</v>
      </c>
      <c r="M65" s="15">
        <f t="shared" si="7"/>
        <v>53.647603699275017</v>
      </c>
      <c r="N65" s="15">
        <f t="shared" si="7"/>
        <v>58.078264616556318</v>
      </c>
      <c r="O65" s="15">
        <f t="shared" si="7"/>
        <v>62.866344804130563</v>
      </c>
    </row>
    <row r="66" spans="2:15" s="78" customFormat="1" ht="12.95" customHeight="1" x14ac:dyDescent="0.2">
      <c r="B66" s="268" t="s">
        <v>293</v>
      </c>
      <c r="J66" s="273"/>
      <c r="K66" s="269">
        <f>+K65/K59</f>
        <v>4.1500000000000002E-2</v>
      </c>
      <c r="L66" s="79">
        <f t="shared" ref="L66:O66" si="8">+L65/L59</f>
        <v>4.2000000000000003E-2</v>
      </c>
      <c r="M66" s="79">
        <f t="shared" si="8"/>
        <v>4.2500000000000003E-2</v>
      </c>
      <c r="N66" s="79">
        <f t="shared" si="8"/>
        <v>4.3000000000000003E-2</v>
      </c>
      <c r="O66" s="79">
        <f t="shared" si="8"/>
        <v>4.3500000000000004E-2</v>
      </c>
    </row>
    <row r="67" spans="2:15" ht="12.95" customHeight="1" x14ac:dyDescent="0.2">
      <c r="J67" s="131"/>
      <c r="K67" s="4"/>
    </row>
    <row r="68" spans="2:15" ht="12.95" customHeight="1" x14ac:dyDescent="0.35">
      <c r="J68" s="274"/>
      <c r="K68" s="10" t="str">
        <f>+$K$32</f>
        <v>Fiscal Year Ended 12/31</v>
      </c>
      <c r="L68" s="85"/>
      <c r="M68" s="85"/>
      <c r="N68" s="85"/>
      <c r="O68" s="85"/>
    </row>
    <row r="69" spans="2:15" ht="12.95" customHeight="1" x14ac:dyDescent="0.2">
      <c r="B69" s="24" t="s">
        <v>180</v>
      </c>
      <c r="J69" s="275"/>
      <c r="K69" s="118">
        <f>+$K$103</f>
        <v>2020</v>
      </c>
      <c r="L69" s="13">
        <f>+$L$103</f>
        <v>2021</v>
      </c>
      <c r="M69" s="13">
        <f>+$M$103</f>
        <v>2022</v>
      </c>
      <c r="N69" s="13">
        <f>+$N$103</f>
        <v>2023</v>
      </c>
      <c r="O69" s="13">
        <f>+$O$103</f>
        <v>2024</v>
      </c>
    </row>
    <row r="70" spans="2:15" ht="12.95" customHeight="1" x14ac:dyDescent="0.2">
      <c r="B70" s="1" t="s">
        <v>35</v>
      </c>
      <c r="J70" s="276"/>
      <c r="K70" s="221">
        <f>+K118</f>
        <v>211.13616104999991</v>
      </c>
      <c r="L70" s="221">
        <f t="shared" ref="L70:O70" si="9">+L118</f>
        <v>231.22441616399993</v>
      </c>
      <c r="M70" s="221">
        <f t="shared" si="9"/>
        <v>253.09045980481494</v>
      </c>
      <c r="N70" s="221">
        <f t="shared" si="9"/>
        <v>276.88474991614049</v>
      </c>
      <c r="O70" s="221">
        <f t="shared" si="9"/>
        <v>302.770097390008</v>
      </c>
    </row>
    <row r="71" spans="2:15" ht="12.95" customHeight="1" x14ac:dyDescent="0.2">
      <c r="B71" s="1" t="s">
        <v>163</v>
      </c>
      <c r="J71" s="277"/>
      <c r="K71" s="35">
        <f ca="1">-K64</f>
        <v>-68.230865912273998</v>
      </c>
      <c r="L71" s="35">
        <f t="shared" ref="L71:O71" ca="1" si="10">-L64</f>
        <v>-63.710751441226918</v>
      </c>
      <c r="M71" s="35">
        <f t="shared" ca="1" si="10"/>
        <v>-58.408753880702392</v>
      </c>
      <c r="N71" s="35">
        <f t="shared" ca="1" si="10"/>
        <v>-52.196101501749489</v>
      </c>
      <c r="O71" s="35">
        <f t="shared" ca="1" si="10"/>
        <v>-48.871667499999987</v>
      </c>
    </row>
    <row r="72" spans="2:15" ht="12.95" customHeight="1" x14ac:dyDescent="0.2">
      <c r="B72" s="1" t="s">
        <v>181</v>
      </c>
      <c r="J72" s="277"/>
      <c r="K72" s="35">
        <f ca="1">+K112</f>
        <v>-21.137417868446832</v>
      </c>
      <c r="L72" s="35">
        <f t="shared" ref="L72:O72" ca="1" si="11">+L112</f>
        <v>-26.114834330687973</v>
      </c>
      <c r="M72" s="35">
        <f t="shared" ca="1" si="11"/>
        <v>-31.632154499115547</v>
      </c>
      <c r="N72" s="35">
        <f t="shared" ca="1" si="11"/>
        <v>-37.786380223793373</v>
      </c>
      <c r="O72" s="35">
        <f t="shared" ca="1" si="11"/>
        <v>-45.114563718743199</v>
      </c>
    </row>
    <row r="73" spans="2:15" ht="12.95" customHeight="1" x14ac:dyDescent="0.2">
      <c r="B73" s="1" t="s">
        <v>164</v>
      </c>
      <c r="J73" s="278"/>
      <c r="K73" s="35">
        <f>+K207</f>
        <v>4.6723983343924207</v>
      </c>
      <c r="L73" s="35">
        <f t="shared" ref="L73:O73" si="12">+L207</f>
        <v>-4.0769527296803361</v>
      </c>
      <c r="M73" s="35">
        <f t="shared" si="12"/>
        <v>-4.3758249183255966</v>
      </c>
      <c r="N73" s="35">
        <f t="shared" si="12"/>
        <v>-4.6965621450057498</v>
      </c>
      <c r="O73" s="35">
        <f t="shared" si="12"/>
        <v>-5.0407610413213053</v>
      </c>
    </row>
    <row r="74" spans="2:15" ht="12.95" customHeight="1" x14ac:dyDescent="0.2">
      <c r="B74" s="4" t="s">
        <v>165</v>
      </c>
      <c r="C74" s="4"/>
      <c r="D74" s="4"/>
      <c r="E74" s="4"/>
      <c r="F74" s="4"/>
      <c r="G74" s="4"/>
      <c r="H74" s="4"/>
      <c r="I74" s="4"/>
      <c r="J74" s="278"/>
      <c r="K74" s="35">
        <f>-K65</f>
        <v>-45.755356050000003</v>
      </c>
      <c r="L74" s="35">
        <f t="shared" ref="L74:O74" si="13">-L65</f>
        <v>-49.548089178000005</v>
      </c>
      <c r="M74" s="35">
        <f t="shared" si="13"/>
        <v>-53.647603699275017</v>
      </c>
      <c r="N74" s="35">
        <f t="shared" si="13"/>
        <v>-58.078264616556318</v>
      </c>
      <c r="O74" s="35">
        <f t="shared" si="13"/>
        <v>-62.866344804130563</v>
      </c>
    </row>
    <row r="75" spans="2:15" s="4" customFormat="1" ht="12.95" customHeight="1" x14ac:dyDescent="0.2">
      <c r="B75" s="282" t="s">
        <v>166</v>
      </c>
      <c r="C75" s="94"/>
      <c r="D75" s="94"/>
      <c r="E75" s="94"/>
      <c r="F75" s="94"/>
      <c r="G75" s="94"/>
      <c r="H75" s="94"/>
      <c r="I75" s="94"/>
      <c r="J75" s="279"/>
      <c r="K75" s="234">
        <f ca="1">SUM(K70:K74)</f>
        <v>80.684919553671506</v>
      </c>
      <c r="L75" s="234">
        <f t="shared" ref="L75:O75" ca="1" si="14">SUM(L70:L74)</f>
        <v>87.77378848440469</v>
      </c>
      <c r="M75" s="234">
        <f t="shared" ca="1" si="14"/>
        <v>105.02612280739638</v>
      </c>
      <c r="N75" s="234">
        <f t="shared" ca="1" si="14"/>
        <v>124.12744142903557</v>
      </c>
      <c r="O75" s="235">
        <f t="shared" ca="1" si="14"/>
        <v>140.87676032581294</v>
      </c>
    </row>
    <row r="76" spans="2:15" s="4" customFormat="1" ht="12.95" customHeight="1" x14ac:dyDescent="0.2">
      <c r="B76" s="40" t="s">
        <v>167</v>
      </c>
      <c r="C76" s="2"/>
      <c r="D76" s="2"/>
      <c r="E76" s="2"/>
      <c r="F76" s="2"/>
      <c r="G76" s="2"/>
      <c r="H76" s="2"/>
      <c r="I76" s="2"/>
      <c r="J76" s="280"/>
      <c r="K76" s="42">
        <f ca="1">+K75</f>
        <v>80.684919553671506</v>
      </c>
      <c r="L76" s="42">
        <f ca="1">+K76+L75</f>
        <v>168.4587080380762</v>
      </c>
      <c r="M76" s="42">
        <f t="shared" ref="M76:O76" ca="1" si="15">+L76+M75</f>
        <v>273.48483084547257</v>
      </c>
      <c r="N76" s="42">
        <f t="shared" ca="1" si="15"/>
        <v>397.61227227450814</v>
      </c>
      <c r="O76" s="43">
        <f t="shared" ca="1" si="15"/>
        <v>538.48903260032102</v>
      </c>
    </row>
    <row r="77" spans="2:15" ht="12.95" customHeight="1" x14ac:dyDescent="0.2">
      <c r="J77" s="131"/>
      <c r="K77" s="270"/>
      <c r="L77" s="99"/>
      <c r="M77" s="99"/>
      <c r="N77" s="99"/>
      <c r="O77" s="99"/>
    </row>
    <row r="78" spans="2:15" ht="12.95" customHeight="1" x14ac:dyDescent="0.2">
      <c r="B78" s="24" t="s">
        <v>168</v>
      </c>
      <c r="J78" s="100" t="s">
        <v>126</v>
      </c>
      <c r="K78" s="4"/>
    </row>
    <row r="79" spans="2:15" ht="12.95" customHeight="1" x14ac:dyDescent="0.2">
      <c r="B79" s="1" t="s">
        <v>40</v>
      </c>
      <c r="J79" s="101">
        <f>+J139</f>
        <v>0</v>
      </c>
      <c r="K79" s="54">
        <f t="shared" ref="K79:O79" ca="1" si="16">+K139</f>
        <v>5</v>
      </c>
      <c r="L79" s="15">
        <f t="shared" ca="1" si="16"/>
        <v>5</v>
      </c>
      <c r="M79" s="15">
        <f t="shared" ca="1" si="16"/>
        <v>5</v>
      </c>
      <c r="N79" s="15">
        <f t="shared" ca="1" si="16"/>
        <v>5</v>
      </c>
      <c r="O79" s="15">
        <f t="shared" ca="1" si="16"/>
        <v>5</v>
      </c>
    </row>
    <row r="80" spans="2:15" ht="12.95" customHeight="1" x14ac:dyDescent="0.2">
      <c r="J80" s="102"/>
      <c r="K80" s="4"/>
    </row>
    <row r="81" spans="2:16" ht="12.95" customHeight="1" x14ac:dyDescent="0.2">
      <c r="B81" s="1" t="s">
        <v>169</v>
      </c>
      <c r="J81" s="103">
        <f>+J158</f>
        <v>0</v>
      </c>
      <c r="K81" s="175">
        <f t="shared" ref="K81:O81" si="17">+K158</f>
        <v>0</v>
      </c>
      <c r="L81" s="14">
        <f t="shared" si="17"/>
        <v>0</v>
      </c>
      <c r="M81" s="14">
        <f t="shared" si="17"/>
        <v>0</v>
      </c>
      <c r="N81" s="14">
        <f t="shared" si="17"/>
        <v>0</v>
      </c>
      <c r="O81" s="14">
        <f t="shared" si="17"/>
        <v>0</v>
      </c>
    </row>
    <row r="82" spans="2:16" ht="12.95" customHeight="1" x14ac:dyDescent="0.2">
      <c r="J82" s="283"/>
      <c r="K82" s="88"/>
      <c r="L82" s="264"/>
      <c r="M82" s="264"/>
      <c r="N82" s="264"/>
      <c r="O82" s="264"/>
    </row>
    <row r="83" spans="2:16" ht="12.95" customHeight="1" x14ac:dyDescent="0.2">
      <c r="B83" s="1" t="str">
        <f>+B48</f>
        <v>Revolving Credit Facility</v>
      </c>
      <c r="J83" s="104">
        <f>+J159</f>
        <v>0</v>
      </c>
      <c r="K83" s="35">
        <f t="shared" ref="K83:O83" ca="1" si="18">+K159</f>
        <v>0</v>
      </c>
      <c r="L83" s="16">
        <f t="shared" ca="1" si="18"/>
        <v>0</v>
      </c>
      <c r="M83" s="16">
        <f t="shared" ca="1" si="18"/>
        <v>0</v>
      </c>
      <c r="N83" s="16">
        <f t="shared" ca="1" si="18"/>
        <v>0</v>
      </c>
      <c r="O83" s="16">
        <f t="shared" ca="1" si="18"/>
        <v>0</v>
      </c>
    </row>
    <row r="84" spans="2:16" ht="12.95" customHeight="1" x14ac:dyDescent="0.2">
      <c r="B84" s="1" t="str">
        <f>+B49</f>
        <v>First Lien Term Loan</v>
      </c>
      <c r="J84" s="104">
        <f t="shared" ref="J84:O85" si="19">+J160</f>
        <v>389.37333999999987</v>
      </c>
      <c r="K84" s="35">
        <f t="shared" ca="1" si="19"/>
        <v>313.68842044632839</v>
      </c>
      <c r="L84" s="16">
        <f t="shared" ca="1" si="19"/>
        <v>225.91463196192365</v>
      </c>
      <c r="M84" s="16">
        <f t="shared" ca="1" si="19"/>
        <v>120.88850915452724</v>
      </c>
      <c r="N84" s="16">
        <f t="shared" ca="1" si="19"/>
        <v>0</v>
      </c>
      <c r="O84" s="16">
        <f t="shared" ca="1" si="19"/>
        <v>0</v>
      </c>
    </row>
    <row r="85" spans="2:16" ht="12.95" customHeight="1" x14ac:dyDescent="0.2">
      <c r="B85" s="3" t="str">
        <f>+B50</f>
        <v>Second Lien Term Loan</v>
      </c>
      <c r="C85" s="3"/>
      <c r="D85" s="3"/>
      <c r="E85" s="3"/>
      <c r="F85" s="3"/>
      <c r="G85" s="3"/>
      <c r="H85" s="3"/>
      <c r="I85" s="3"/>
      <c r="J85" s="105">
        <f t="shared" si="19"/>
        <v>194.68666999999994</v>
      </c>
      <c r="K85" s="66">
        <f t="shared" ca="1" si="19"/>
        <v>210.91055916666659</v>
      </c>
      <c r="L85" s="66">
        <f t="shared" ca="1" si="19"/>
        <v>228.48643909722213</v>
      </c>
      <c r="M85" s="66">
        <f t="shared" ca="1" si="19"/>
        <v>247.5269756886573</v>
      </c>
      <c r="N85" s="66">
        <f t="shared" ca="1" si="19"/>
        <v>264.78033587676589</v>
      </c>
      <c r="O85" s="66">
        <f t="shared" ca="1" si="19"/>
        <v>140.09873852710791</v>
      </c>
    </row>
    <row r="86" spans="2:16" ht="12.95" customHeight="1" x14ac:dyDescent="0.2">
      <c r="B86" s="69" t="s">
        <v>170</v>
      </c>
      <c r="C86" s="69"/>
      <c r="D86" s="69"/>
      <c r="E86" s="69"/>
      <c r="F86" s="69"/>
      <c r="G86" s="69"/>
      <c r="H86" s="69"/>
      <c r="I86" s="69"/>
      <c r="J86" s="106">
        <f>+SUM(J83:J85)</f>
        <v>584.06000999999981</v>
      </c>
      <c r="K86" s="71">
        <f t="shared" ref="K86:O86" ca="1" si="20">+SUM(K83:K85)</f>
        <v>524.59897961299498</v>
      </c>
      <c r="L86" s="71">
        <f t="shared" ca="1" si="20"/>
        <v>454.40107105914581</v>
      </c>
      <c r="M86" s="71">
        <f t="shared" ca="1" si="20"/>
        <v>368.41548484318457</v>
      </c>
      <c r="N86" s="71">
        <f t="shared" ca="1" si="20"/>
        <v>264.78033587676589</v>
      </c>
      <c r="O86" s="71">
        <f t="shared" ca="1" si="20"/>
        <v>140.09873852710791</v>
      </c>
    </row>
    <row r="87" spans="2:16" ht="12.95" customHeight="1" x14ac:dyDescent="0.2">
      <c r="B87" s="3" t="str">
        <f>+B51</f>
        <v>Notes</v>
      </c>
      <c r="C87" s="3"/>
      <c r="D87" s="3"/>
      <c r="E87" s="3"/>
      <c r="F87" s="3"/>
      <c r="G87" s="3"/>
      <c r="H87" s="3"/>
      <c r="I87" s="3"/>
      <c r="J87" s="105">
        <f>+J162</f>
        <v>486.71667499999984</v>
      </c>
      <c r="K87" s="66">
        <f t="shared" ref="K87:O87" ca="1" si="21">+K162</f>
        <v>486.71667499999984</v>
      </c>
      <c r="L87" s="66">
        <f t="shared" ca="1" si="21"/>
        <v>486.71667499999984</v>
      </c>
      <c r="M87" s="66">
        <f t="shared" ca="1" si="21"/>
        <v>486.71667499999984</v>
      </c>
      <c r="N87" s="66">
        <f t="shared" ca="1" si="21"/>
        <v>486.71667499999984</v>
      </c>
      <c r="O87" s="66">
        <f t="shared" ca="1" si="21"/>
        <v>486.71667499999984</v>
      </c>
    </row>
    <row r="88" spans="2:16" ht="12.95" customHeight="1" x14ac:dyDescent="0.2">
      <c r="B88" s="69" t="s">
        <v>171</v>
      </c>
      <c r="C88" s="4"/>
      <c r="D88" s="4"/>
      <c r="E88" s="4"/>
      <c r="F88" s="4"/>
      <c r="G88" s="4"/>
      <c r="H88" s="4"/>
      <c r="I88" s="4"/>
      <c r="J88" s="106">
        <f>+SUM(J86:J87)+J81</f>
        <v>1070.7766849999996</v>
      </c>
      <c r="K88" s="71">
        <f t="shared" ref="K88:O88" ca="1" si="22">+SUM(K86:K87)+K81</f>
        <v>1011.3156546129949</v>
      </c>
      <c r="L88" s="71">
        <f t="shared" ca="1" si="22"/>
        <v>941.1177460591457</v>
      </c>
      <c r="M88" s="71">
        <f t="shared" ca="1" si="22"/>
        <v>855.13215984318435</v>
      </c>
      <c r="N88" s="71">
        <f t="shared" ca="1" si="22"/>
        <v>751.49701087676567</v>
      </c>
      <c r="O88" s="71">
        <f t="shared" ca="1" si="22"/>
        <v>626.81541352710769</v>
      </c>
    </row>
    <row r="89" spans="2:16" ht="12.95" customHeight="1" x14ac:dyDescent="0.2">
      <c r="B89" s="3" t="str">
        <f>+B165</f>
        <v>Equity</v>
      </c>
      <c r="C89" s="3"/>
      <c r="D89" s="3"/>
      <c r="E89" s="3"/>
      <c r="F89" s="3"/>
      <c r="G89" s="3"/>
      <c r="H89" s="3"/>
      <c r="I89" s="3"/>
      <c r="J89" s="105">
        <f>+J165</f>
        <v>899.50554869999974</v>
      </c>
      <c r="K89" s="66">
        <f t="shared" ref="K89:O89" ca="1" si="23">+K165</f>
        <v>959.66589186404076</v>
      </c>
      <c r="L89" s="66">
        <f t="shared" ca="1" si="23"/>
        <v>1033.9927280359989</v>
      </c>
      <c r="M89" s="66">
        <f t="shared" ca="1" si="23"/>
        <v>1124.0227062257893</v>
      </c>
      <c r="N89" s="66">
        <f t="shared" ca="1" si="23"/>
        <v>1231.5685576319704</v>
      </c>
      <c r="O89" s="66">
        <f t="shared" ca="1" si="23"/>
        <v>1359.9715466776242</v>
      </c>
    </row>
    <row r="90" spans="2:16" ht="12.95" customHeight="1" x14ac:dyDescent="0.2">
      <c r="B90" s="69" t="s">
        <v>172</v>
      </c>
      <c r="C90" s="69"/>
      <c r="D90" s="69"/>
      <c r="E90" s="69"/>
      <c r="F90" s="69"/>
      <c r="G90" s="69"/>
      <c r="H90" s="69"/>
      <c r="I90" s="69"/>
      <c r="J90" s="106">
        <f>SUM(J88:J89)</f>
        <v>1970.2822336999993</v>
      </c>
      <c r="K90" s="71">
        <f t="shared" ref="K90:O90" ca="1" si="24">SUM(K88:K89)</f>
        <v>1970.9815464770356</v>
      </c>
      <c r="L90" s="71">
        <f t="shared" ca="1" si="24"/>
        <v>1975.1104740951446</v>
      </c>
      <c r="M90" s="71">
        <f t="shared" ca="1" si="24"/>
        <v>1979.1548660689737</v>
      </c>
      <c r="N90" s="71">
        <f t="shared" ca="1" si="24"/>
        <v>1983.0655685087361</v>
      </c>
      <c r="O90" s="71">
        <f t="shared" ca="1" si="24"/>
        <v>1986.7869602047319</v>
      </c>
    </row>
    <row r="91" spans="2:16" ht="12.95" customHeight="1" x14ac:dyDescent="0.2">
      <c r="J91" s="107"/>
      <c r="K91" s="4"/>
    </row>
    <row r="92" spans="2:16" ht="12.95" customHeight="1" x14ac:dyDescent="0.2">
      <c r="B92" s="24" t="s">
        <v>173</v>
      </c>
      <c r="J92" s="102"/>
      <c r="K92" s="284"/>
      <c r="O92" s="108"/>
      <c r="P92" s="109"/>
    </row>
    <row r="93" spans="2:16" ht="12.95" customHeight="1" x14ac:dyDescent="0.2">
      <c r="B93" s="1" t="s">
        <v>174</v>
      </c>
      <c r="J93" s="281">
        <f>+J88/J61</f>
        <v>5.5</v>
      </c>
      <c r="K93" s="111">
        <f t="shared" ref="K93:O93" ca="1" si="25">+K88/K61</f>
        <v>4.7898742194782145</v>
      </c>
      <c r="L93" s="111">
        <f t="shared" ca="1" si="25"/>
        <v>4.0701486532963784</v>
      </c>
      <c r="M93" s="111">
        <f t="shared" ca="1" si="25"/>
        <v>3.3787609398737035</v>
      </c>
      <c r="N93" s="111">
        <f t="shared" ca="1" si="25"/>
        <v>2.714114847799924</v>
      </c>
      <c r="O93" s="111">
        <f t="shared" ca="1" si="25"/>
        <v>2.0702685599750175</v>
      </c>
      <c r="P93" s="109"/>
    </row>
    <row r="94" spans="2:16" ht="12.95" customHeight="1" x14ac:dyDescent="0.2">
      <c r="B94" s="1" t="s">
        <v>175</v>
      </c>
      <c r="J94" s="281">
        <f>+(J88-J79)/J61</f>
        <v>5.5</v>
      </c>
      <c r="K94" s="111">
        <f t="shared" ref="K94:O94" ca="1" si="26">+(K88-K79)/K61</f>
        <v>4.7661928189301772</v>
      </c>
      <c r="L94" s="111">
        <f t="shared" ca="1" si="26"/>
        <v>4.0485246393494529</v>
      </c>
      <c r="M94" s="111">
        <f t="shared" ca="1" si="26"/>
        <v>3.3590051576768718</v>
      </c>
      <c r="N94" s="111">
        <f t="shared" ca="1" si="26"/>
        <v>2.6960567929539478</v>
      </c>
      <c r="O94" s="111">
        <f t="shared" ca="1" si="26"/>
        <v>2.0537543796015201</v>
      </c>
      <c r="P94" s="109"/>
    </row>
    <row r="95" spans="2:16" ht="12.95" customHeight="1" x14ac:dyDescent="0.2">
      <c r="B95" s="1" t="s">
        <v>176</v>
      </c>
      <c r="J95" s="107"/>
      <c r="K95" s="114">
        <f ca="1">+K75/K88</f>
        <v>7.9782132498035535E-2</v>
      </c>
      <c r="L95" s="114">
        <f t="shared" ref="L95:O95" ca="1" si="27">+L75/L88</f>
        <v>9.3265469546133115E-2</v>
      </c>
      <c r="M95" s="114">
        <f t="shared" ca="1" si="27"/>
        <v>0.12281858610797219</v>
      </c>
      <c r="N95" s="114">
        <f t="shared" ca="1" si="27"/>
        <v>0.1651735664047646</v>
      </c>
      <c r="O95" s="114">
        <f t="shared" ca="1" si="27"/>
        <v>0.22474999383486041</v>
      </c>
    </row>
    <row r="96" spans="2:16" ht="12.95" customHeight="1" x14ac:dyDescent="0.2">
      <c r="J96" s="107"/>
      <c r="K96" s="4"/>
      <c r="O96" s="76"/>
    </row>
    <row r="97" spans="1:15" ht="12.95" customHeight="1" x14ac:dyDescent="0.2">
      <c r="B97" s="1" t="s">
        <v>177</v>
      </c>
      <c r="J97" s="107"/>
      <c r="K97" s="111">
        <f ca="1">+K61/K64</f>
        <v>3.0944376599508874</v>
      </c>
      <c r="L97" s="111">
        <f t="shared" ref="L97:O97" ca="1" si="28">+L61/L64</f>
        <v>3.6292840836652842</v>
      </c>
      <c r="M97" s="111">
        <f t="shared" ca="1" si="28"/>
        <v>4.3330912404284874</v>
      </c>
      <c r="N97" s="111">
        <f t="shared" ca="1" si="28"/>
        <v>5.3047017296274506</v>
      </c>
      <c r="O97" s="111">
        <f t="shared" ca="1" si="28"/>
        <v>6.1952070162125752</v>
      </c>
    </row>
    <row r="98" spans="1:15" ht="12.95" customHeight="1" x14ac:dyDescent="0.2">
      <c r="B98" s="1" t="s">
        <v>178</v>
      </c>
      <c r="J98" s="179"/>
      <c r="K98" s="111">
        <f ca="1">+(K61-K65)/K64</f>
        <v>2.423841509099911</v>
      </c>
      <c r="L98" s="111">
        <f t="shared" ref="L98:O98" ca="1" si="29">+(L61-L65)/L64</f>
        <v>2.8515803514512945</v>
      </c>
      <c r="M98" s="111">
        <f t="shared" ca="1" si="29"/>
        <v>3.4146055660234458</v>
      </c>
      <c r="N98" s="111">
        <f t="shared" ca="1" si="29"/>
        <v>4.1920081960958386</v>
      </c>
      <c r="O98" s="111">
        <f t="shared" ca="1" si="29"/>
        <v>4.9088513827746416</v>
      </c>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5"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5"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5" ht="12.95" customHeight="1" x14ac:dyDescent="0.2">
      <c r="B106" s="4" t="s">
        <v>17</v>
      </c>
      <c r="C106" s="4"/>
      <c r="D106" s="4"/>
      <c r="E106" s="4"/>
      <c r="F106" s="4"/>
      <c r="G106" s="4"/>
      <c r="H106" s="121">
        <f t="shared" ref="H106:O106" si="30">SUM(H104:H105)</f>
        <v>387</v>
      </c>
      <c r="I106" s="121">
        <f t="shared" si="30"/>
        <v>415.053</v>
      </c>
      <c r="J106" s="126">
        <f t="shared" si="30"/>
        <v>445.13711999999998</v>
      </c>
      <c r="K106" s="62">
        <f t="shared" si="30"/>
        <v>478.50179579999997</v>
      </c>
      <c r="L106" s="62">
        <f t="shared" si="30"/>
        <v>514.35635432399999</v>
      </c>
      <c r="M106" s="62">
        <f t="shared" si="30"/>
        <v>552.88589224194004</v>
      </c>
      <c r="N106" s="62">
        <f t="shared" si="30"/>
        <v>594.28921933220408</v>
      </c>
      <c r="O106" s="62">
        <f t="shared" si="30"/>
        <v>638.77987134311957</v>
      </c>
    </row>
    <row r="107" spans="1:15"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5" ht="12.95" customHeight="1" x14ac:dyDescent="0.2">
      <c r="B108" s="69" t="s">
        <v>25</v>
      </c>
      <c r="C108" s="69"/>
      <c r="D108" s="69"/>
      <c r="E108" s="69"/>
      <c r="F108" s="69"/>
      <c r="G108" s="69"/>
      <c r="H108" s="122">
        <f t="shared" ref="H108:O108" si="31">+SUM(H106:H107)</f>
        <v>134.99999999999997</v>
      </c>
      <c r="I108" s="122">
        <f t="shared" si="31"/>
        <v>144.44999999999999</v>
      </c>
      <c r="J108" s="128">
        <f t="shared" si="31"/>
        <v>154.56149999999991</v>
      </c>
      <c r="K108" s="96">
        <f t="shared" si="31"/>
        <v>169.2396904499999</v>
      </c>
      <c r="L108" s="96">
        <f t="shared" si="31"/>
        <v>185.21547621299993</v>
      </c>
      <c r="M108" s="96">
        <f t="shared" si="31"/>
        <v>202.59859749961493</v>
      </c>
      <c r="N108" s="96">
        <f t="shared" si="31"/>
        <v>221.50779993291235</v>
      </c>
      <c r="O108" s="96">
        <f t="shared" si="31"/>
        <v>242.07155757912329</v>
      </c>
    </row>
    <row r="109" spans="1:15" ht="12.95" customHeight="1" x14ac:dyDescent="0.2">
      <c r="B109" s="4" t="s">
        <v>20</v>
      </c>
      <c r="C109" s="4"/>
      <c r="D109" s="4"/>
      <c r="E109" s="4"/>
      <c r="F109" s="4"/>
      <c r="G109" s="4"/>
      <c r="H109" s="120">
        <v>0</v>
      </c>
      <c r="I109" s="120">
        <v>5.0000000000000001E-3</v>
      </c>
      <c r="J109" s="127">
        <v>7.4999999999999997E-3</v>
      </c>
      <c r="K109" s="62">
        <f ca="1">+K306</f>
        <v>2.5000000000000001E-2</v>
      </c>
      <c r="L109" s="62">
        <f ca="1">+L306</f>
        <v>0.05</v>
      </c>
      <c r="M109" s="62">
        <f ca="1">+M306</f>
        <v>0.05</v>
      </c>
      <c r="N109" s="62">
        <f ca="1">+N306</f>
        <v>0.05</v>
      </c>
      <c r="O109" s="62">
        <f ca="1">+O306</f>
        <v>0.05</v>
      </c>
    </row>
    <row r="110" spans="1:15" ht="12.95" customHeight="1" x14ac:dyDescent="0.2">
      <c r="B110" s="3" t="s">
        <v>198</v>
      </c>
      <c r="C110" s="3"/>
      <c r="D110" s="3"/>
      <c r="E110" s="3"/>
      <c r="F110" s="3"/>
      <c r="G110" s="3"/>
      <c r="H110" s="120">
        <v>0</v>
      </c>
      <c r="I110" s="120">
        <v>0</v>
      </c>
      <c r="J110" s="127">
        <v>0</v>
      </c>
      <c r="K110" s="62">
        <f ca="1">-SUM(K317,K40)</f>
        <v>-87.966929417512091</v>
      </c>
      <c r="L110" s="62">
        <f ca="1">-SUM(L317,L40)</f>
        <v>-84.823805710353895</v>
      </c>
      <c r="M110" s="62">
        <f ca="1">-SUM(M317,M40)</f>
        <v>-80.986464810708995</v>
      </c>
      <c r="N110" s="62">
        <f ca="1">-SUM(N317,N40)</f>
        <v>-76.225568302937845</v>
      </c>
      <c r="O110" s="62">
        <f ca="1">-SUM(O317,O40)</f>
        <v>-68.60400481472638</v>
      </c>
    </row>
    <row r="111" spans="1:15" ht="12.95" customHeight="1" x14ac:dyDescent="0.2">
      <c r="B111" s="4" t="s">
        <v>26</v>
      </c>
      <c r="C111" s="4"/>
      <c r="D111" s="4"/>
      <c r="E111" s="4"/>
      <c r="F111" s="4"/>
      <c r="G111" s="4"/>
      <c r="H111" s="121">
        <f t="shared" ref="H111:O111" si="32">+SUM(H108:H110)</f>
        <v>134.99999999999997</v>
      </c>
      <c r="I111" s="121">
        <f t="shared" si="32"/>
        <v>144.45499999999998</v>
      </c>
      <c r="J111" s="126">
        <f t="shared" si="32"/>
        <v>154.5689999999999</v>
      </c>
      <c r="K111" s="222">
        <f t="shared" ca="1" si="32"/>
        <v>81.297761032487813</v>
      </c>
      <c r="L111" s="222">
        <f t="shared" ca="1" si="32"/>
        <v>100.44167050264605</v>
      </c>
      <c r="M111" s="222">
        <f t="shared" ca="1" si="32"/>
        <v>121.66213268890594</v>
      </c>
      <c r="N111" s="222">
        <f t="shared" ca="1" si="32"/>
        <v>145.3322316299745</v>
      </c>
      <c r="O111" s="222">
        <f t="shared" ca="1" si="32"/>
        <v>173.51755276439692</v>
      </c>
    </row>
    <row r="112" spans="1:15" ht="12.95" customHeight="1" x14ac:dyDescent="0.2">
      <c r="B112" s="4" t="s">
        <v>22</v>
      </c>
      <c r="C112" s="4"/>
      <c r="D112" s="4"/>
      <c r="E112" s="4"/>
      <c r="F112" s="4"/>
      <c r="G112" s="4"/>
      <c r="H112" s="120">
        <v>-47.249999999999986</v>
      </c>
      <c r="I112" s="120">
        <v>-37.558299999999996</v>
      </c>
      <c r="J112" s="127">
        <v>-40.187939999999976</v>
      </c>
      <c r="K112" s="62">
        <f ca="1">-K111*K131</f>
        <v>-21.137417868446832</v>
      </c>
      <c r="L112" s="62">
        <f ca="1">-L111*L131</f>
        <v>-26.114834330687973</v>
      </c>
      <c r="M112" s="62">
        <f ca="1">-M111*M131</f>
        <v>-31.632154499115547</v>
      </c>
      <c r="N112" s="62">
        <f ca="1">-N111*N131</f>
        <v>-37.786380223793373</v>
      </c>
      <c r="O112" s="62">
        <f ca="1">-O111*O131</f>
        <v>-45.114563718743199</v>
      </c>
    </row>
    <row r="113" spans="2:15" ht="12.95" customHeight="1" x14ac:dyDescent="0.2">
      <c r="B113" s="20" t="s">
        <v>23</v>
      </c>
      <c r="C113" s="21"/>
      <c r="D113" s="21"/>
      <c r="E113" s="21"/>
      <c r="F113" s="21"/>
      <c r="G113" s="21"/>
      <c r="H113" s="122">
        <f t="shared" ref="H113:O113" si="33">+SUM(H111:H112)</f>
        <v>87.749999999999986</v>
      </c>
      <c r="I113" s="122">
        <f t="shared" si="33"/>
        <v>106.89669999999998</v>
      </c>
      <c r="J113" s="128">
        <f t="shared" si="33"/>
        <v>114.38105999999993</v>
      </c>
      <c r="K113" s="234">
        <f t="shared" ca="1" si="33"/>
        <v>60.160343164040981</v>
      </c>
      <c r="L113" s="234">
        <f t="shared" ca="1" si="33"/>
        <v>74.326836171958078</v>
      </c>
      <c r="M113" s="234">
        <f t="shared" ca="1" si="33"/>
        <v>90.029978189790398</v>
      </c>
      <c r="N113" s="234">
        <f t="shared" ca="1" si="33"/>
        <v>107.54585140618113</v>
      </c>
      <c r="O113" s="235">
        <f t="shared" ca="1" si="33"/>
        <v>128.40298904565373</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34">+H108</f>
        <v>134.99999999999997</v>
      </c>
      <c r="I116" s="121">
        <f t="shared" si="34"/>
        <v>144.44999999999999</v>
      </c>
      <c r="J116" s="126">
        <f t="shared" si="34"/>
        <v>154.56149999999991</v>
      </c>
      <c r="K116" s="222">
        <f t="shared" si="34"/>
        <v>169.2396904499999</v>
      </c>
      <c r="L116" s="222">
        <f t="shared" si="34"/>
        <v>185.21547621299993</v>
      </c>
      <c r="M116" s="222">
        <f t="shared" si="34"/>
        <v>202.59859749961493</v>
      </c>
      <c r="N116" s="222">
        <f t="shared" si="34"/>
        <v>221.50779993291235</v>
      </c>
      <c r="O116" s="222">
        <f t="shared" si="34"/>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35">SUM(H116:H117)</f>
        <v>166.49999999999997</v>
      </c>
      <c r="I118" s="121">
        <f t="shared" si="35"/>
        <v>179.11799999999999</v>
      </c>
      <c r="J118" s="126">
        <f t="shared" si="35"/>
        <v>192.68666999999994</v>
      </c>
      <c r="K118" s="222">
        <f t="shared" si="35"/>
        <v>211.13616104999991</v>
      </c>
      <c r="L118" s="222">
        <f t="shared" si="35"/>
        <v>231.22441616399993</v>
      </c>
      <c r="M118" s="222">
        <f t="shared" si="35"/>
        <v>253.09045980481494</v>
      </c>
      <c r="N118" s="222">
        <f t="shared" si="35"/>
        <v>276.88474991614049</v>
      </c>
      <c r="O118" s="222">
        <f t="shared" si="35"/>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36">+SUM(H118:H119)</f>
        <v>173.49999999999997</v>
      </c>
      <c r="I120" s="122">
        <f t="shared" si="36"/>
        <v>184.11799999999999</v>
      </c>
      <c r="J120" s="128">
        <f t="shared" si="36"/>
        <v>194.68666999999994</v>
      </c>
      <c r="K120" s="96">
        <f t="shared" si="36"/>
        <v>211.13616104999991</v>
      </c>
      <c r="L120" s="96">
        <f t="shared" si="36"/>
        <v>231.22441616399993</v>
      </c>
      <c r="M120" s="96">
        <f t="shared" si="36"/>
        <v>253.09045980481494</v>
      </c>
      <c r="N120" s="96">
        <f t="shared" si="36"/>
        <v>276.88474991614049</v>
      </c>
      <c r="O120" s="97">
        <f t="shared" si="36"/>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37">+K127+0.002</f>
        <v>0.43599999999999994</v>
      </c>
      <c r="M127" s="134">
        <f t="shared" si="37"/>
        <v>0.43799999999999994</v>
      </c>
      <c r="N127" s="134">
        <f t="shared" si="37"/>
        <v>0.43999999999999995</v>
      </c>
      <c r="O127" s="134">
        <f t="shared" si="37"/>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38">+K128-0.0015</f>
        <v>0.27900000000000003</v>
      </c>
      <c r="M128" s="134">
        <f t="shared" si="38"/>
        <v>0.27750000000000002</v>
      </c>
      <c r="N128" s="134">
        <f t="shared" si="38"/>
        <v>0.27600000000000002</v>
      </c>
      <c r="O128" s="134">
        <f t="shared" si="38"/>
        <v>0.27450000000000002</v>
      </c>
    </row>
    <row r="129" spans="1:24" s="4" customFormat="1" ht="12.95" customHeight="1" x14ac:dyDescent="0.2">
      <c r="B129" s="4" t="s">
        <v>30</v>
      </c>
      <c r="H129" s="135">
        <f t="shared" ref="H129:O129" si="39">+H120/H104</f>
        <v>0.19277777777777774</v>
      </c>
      <c r="I129" s="135">
        <f t="shared" si="39"/>
        <v>0.19119210799584632</v>
      </c>
      <c r="J129" s="136">
        <f t="shared" si="39"/>
        <v>0.18894097495171816</v>
      </c>
      <c r="K129" s="135">
        <f t="shared" si="39"/>
        <v>0.19149999999999992</v>
      </c>
      <c r="L129" s="135">
        <f t="shared" si="39"/>
        <v>0.19599999999999992</v>
      </c>
      <c r="M129" s="135">
        <f t="shared" si="39"/>
        <v>0.2004999999999999</v>
      </c>
      <c r="N129" s="135">
        <f t="shared" si="39"/>
        <v>0.20499999999999993</v>
      </c>
      <c r="O129" s="135">
        <f t="shared" si="39"/>
        <v>0.20949999999999996</v>
      </c>
    </row>
    <row r="130" spans="1:24" s="4" customFormat="1" ht="12.95" customHeight="1" x14ac:dyDescent="0.2">
      <c r="B130" s="4" t="s">
        <v>32</v>
      </c>
      <c r="H130" s="33"/>
      <c r="I130" s="135">
        <f t="shared" ref="I130:O130" si="40">+I120/H120-1</f>
        <v>6.1198847262248002E-2</v>
      </c>
      <c r="J130" s="136">
        <f t="shared" si="40"/>
        <v>5.7401612009689185E-2</v>
      </c>
      <c r="K130" s="135">
        <f t="shared" si="40"/>
        <v>8.4492128043486492E-2</v>
      </c>
      <c r="L130" s="135">
        <f t="shared" si="40"/>
        <v>9.5143603133159393E-2</v>
      </c>
      <c r="M130" s="135">
        <f t="shared" si="40"/>
        <v>9.4566326530612255E-2</v>
      </c>
      <c r="N130" s="135">
        <f t="shared" si="40"/>
        <v>9.4014962593516493E-2</v>
      </c>
      <c r="O130" s="135">
        <f t="shared" si="40"/>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f ca="1">+J139+K220</f>
        <v>5</v>
      </c>
      <c r="L139" s="221">
        <f ca="1">+K139+L220</f>
        <v>5</v>
      </c>
      <c r="M139" s="221">
        <f ca="1">+L139+M220</f>
        <v>5</v>
      </c>
      <c r="N139" s="221">
        <f ca="1">+M139+N220</f>
        <v>5</v>
      </c>
      <c r="O139" s="221">
        <f ca="1">+N139+O220</f>
        <v>5</v>
      </c>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41">+SUM(J139:J142)</f>
        <v>173.34238992211951</v>
      </c>
      <c r="K143" s="238">
        <f t="shared" ca="1" si="41"/>
        <v>187.96286050053121</v>
      </c>
      <c r="L143" s="238">
        <f t="shared" ca="1" si="41"/>
        <v>200.52950228475203</v>
      </c>
      <c r="M143" s="238">
        <f t="shared" ca="1" si="41"/>
        <v>213.95895590231126</v>
      </c>
      <c r="N143" s="238">
        <f t="shared" ca="1" si="41"/>
        <v>228.31043846513344</v>
      </c>
      <c r="O143" s="238">
        <f t="shared" ca="1" si="41"/>
        <v>243.64722970282941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42">+SUM(J143:J148)</f>
        <v>2119.5265357958901</v>
      </c>
      <c r="K149" s="240">
        <f t="shared" ca="1" si="42"/>
        <v>2142.5559154857301</v>
      </c>
      <c r="L149" s="240">
        <f t="shared" ca="1" si="42"/>
        <v>2158.2616405183794</v>
      </c>
      <c r="M149" s="240">
        <f t="shared" ca="1" si="42"/>
        <v>2174.662867136642</v>
      </c>
      <c r="N149" s="240">
        <f t="shared" ca="1" si="42"/>
        <v>2191.7629203555853</v>
      </c>
      <c r="O149" s="241">
        <f t="shared" ca="1" si="42"/>
        <v>2209.5621827346149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43">SUM(J151:J153)</f>
        <v>138.94020209589044</v>
      </c>
      <c r="K154" s="242">
        <f t="shared" si="43"/>
        <v>160.54898200869457</v>
      </c>
      <c r="L154" s="238">
        <f t="shared" si="43"/>
        <v>171.35400233323509</v>
      </c>
      <c r="M154" s="238">
        <f t="shared" si="43"/>
        <v>182.88503549136868</v>
      </c>
      <c r="N154" s="238">
        <f t="shared" si="43"/>
        <v>195.19077868020815</v>
      </c>
      <c r="O154" s="238">
        <f t="shared" si="43"/>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 ca="1">+K256</f>
        <v>0</v>
      </c>
      <c r="L159" s="35">
        <f ca="1">+L256</f>
        <v>0</v>
      </c>
      <c r="M159" s="35">
        <f ca="1">+M256</f>
        <v>0</v>
      </c>
      <c r="N159" s="35">
        <f ca="1">+N256</f>
        <v>0</v>
      </c>
      <c r="O159" s="35">
        <f ca="1">+O256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f ca="1">+K270</f>
        <v>313.68842044632839</v>
      </c>
      <c r="L160" s="35">
        <f ca="1">+L270</f>
        <v>225.91463196192365</v>
      </c>
      <c r="M160" s="35">
        <f ca="1">+M270</f>
        <v>120.88850915452724</v>
      </c>
      <c r="N160" s="35">
        <f ca="1">+N270</f>
        <v>0</v>
      </c>
      <c r="O160" s="35">
        <f ca="1">+O270</f>
        <v>0</v>
      </c>
      <c r="Q160" s="174"/>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f ca="1">+K281</f>
        <v>210.91055916666659</v>
      </c>
      <c r="L161" s="35">
        <f ca="1">+L281</f>
        <v>228.48643909722213</v>
      </c>
      <c r="M161" s="35">
        <f ca="1">+M281</f>
        <v>247.5269756886573</v>
      </c>
      <c r="N161" s="35">
        <f ca="1">+N281</f>
        <v>264.78033587676589</v>
      </c>
      <c r="O161" s="35">
        <f ca="1">+O281</f>
        <v>140.09873852710791</v>
      </c>
      <c r="Q161" s="174"/>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f ca="1">+K291</f>
        <v>486.71667499999984</v>
      </c>
      <c r="L162" s="66">
        <f ca="1">+L291</f>
        <v>486.71667499999984</v>
      </c>
      <c r="M162" s="66">
        <f ca="1">+M291</f>
        <v>486.71667499999984</v>
      </c>
      <c r="N162" s="66">
        <f ca="1">+N291</f>
        <v>486.71667499999984</v>
      </c>
      <c r="O162" s="66">
        <f ca="1">+O291</f>
        <v>486.71667499999984</v>
      </c>
      <c r="Q162" s="174"/>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44">+SUM(J158:J162)</f>
        <v>1070.7766849999996</v>
      </c>
      <c r="K163" s="238">
        <f t="shared" ca="1" si="44"/>
        <v>1011.3156546129949</v>
      </c>
      <c r="L163" s="238">
        <f t="shared" ca="1" si="44"/>
        <v>941.1177460591457</v>
      </c>
      <c r="M163" s="238">
        <f t="shared" ca="1" si="44"/>
        <v>855.13215984318435</v>
      </c>
      <c r="N163" s="238">
        <f t="shared" ca="1" si="44"/>
        <v>751.49701087676567</v>
      </c>
      <c r="O163" s="238">
        <f t="shared" ca="1" si="44"/>
        <v>626.81541352710769</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 ca="1">+J165+K113</f>
        <v>959.66589186404076</v>
      </c>
      <c r="L165" s="35">
        <f ca="1">+K165+L113</f>
        <v>1033.9927280359989</v>
      </c>
      <c r="M165" s="35">
        <f ca="1">+L165+M113</f>
        <v>1124.0227062257893</v>
      </c>
      <c r="N165" s="35">
        <f ca="1">+M165+N113</f>
        <v>1231.5685576319704</v>
      </c>
      <c r="O165" s="35">
        <f ca="1">+N165+O113</f>
        <v>1359.9715466776242</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45">+SUM(J154,J156,J163,J165)</f>
        <v>2119.5265357958897</v>
      </c>
      <c r="K166" s="22">
        <f t="shared" ca="1" si="45"/>
        <v>2142.5559154857301</v>
      </c>
      <c r="L166" s="22">
        <f t="shared" ca="1" si="45"/>
        <v>2158.2616405183799</v>
      </c>
      <c r="M166" s="22">
        <f t="shared" ca="1" si="45"/>
        <v>2174.6628671366425</v>
      </c>
      <c r="N166" s="22">
        <f t="shared" ca="1" si="45"/>
        <v>2191.7629203555853</v>
      </c>
      <c r="O166" s="23">
        <f t="shared" ca="1" si="45"/>
        <v>2209.5621827346154</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46">+IF(ABS(J149-J166)&gt;0.001,1,0)</f>
        <v>0</v>
      </c>
      <c r="K168" s="175">
        <f t="shared" ca="1" si="46"/>
        <v>0</v>
      </c>
      <c r="L168" s="175">
        <f t="shared" ca="1" si="46"/>
        <v>0</v>
      </c>
      <c r="M168" s="175">
        <f t="shared" ca="1" si="46"/>
        <v>0</v>
      </c>
      <c r="N168" s="175">
        <f t="shared" ca="1" si="46"/>
        <v>0</v>
      </c>
      <c r="O168" s="175">
        <f t="shared" ca="1" si="46"/>
        <v>0</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 ca="1">+(K143-K139)-K154</f>
        <v>22.413878491836641</v>
      </c>
      <c r="L186" s="200">
        <f ca="1">+(L143-L139)-L154</f>
        <v>24.17549995151694</v>
      </c>
      <c r="M186" s="200">
        <f ca="1">+(M143-M139)-M154</f>
        <v>26.073920410942577</v>
      </c>
      <c r="N186" s="200">
        <f ca="1">+(N143-N139)-N154</f>
        <v>28.11965978492529</v>
      </c>
      <c r="O186" s="200">
        <f ca="1">+(O143-O139)-O154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 ca="1">+K186/K171</f>
        <v>2.0329334917528644E-2</v>
      </c>
      <c r="L187" s="203">
        <f ca="1">+L186/L171</f>
        <v>2.0492636846519387E-2</v>
      </c>
      <c r="M187" s="203">
        <f ca="1">+M186/M171</f>
        <v>2.0655938775510207E-2</v>
      </c>
      <c r="N187" s="203">
        <f ca="1">+N186/N171</f>
        <v>2.0819240704500967E-2</v>
      </c>
      <c r="O187" s="203">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 ca="1">+K113</f>
        <v>60.160343164040981</v>
      </c>
      <c r="L193" s="15">
        <f ca="1">+L113</f>
        <v>74.326836171958078</v>
      </c>
      <c r="M193" s="15">
        <f ca="1">+M113</f>
        <v>90.029978189790398</v>
      </c>
      <c r="N193" s="15">
        <f ca="1">+N113</f>
        <v>107.54585140618113</v>
      </c>
      <c r="O193" s="15">
        <f ca="1">+O113</f>
        <v>128.40298904565373</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f ca="1">K316</f>
        <v>16.223889166666662</v>
      </c>
      <c r="L196" s="62">
        <f t="shared" ref="L196:O196" ca="1" si="47">L316</f>
        <v>17.575879930555548</v>
      </c>
      <c r="M196" s="62">
        <f t="shared" ca="1" si="47"/>
        <v>19.040536591435178</v>
      </c>
      <c r="N196" s="62">
        <f t="shared" ca="1" si="47"/>
        <v>20.49229246261693</v>
      </c>
      <c r="O196" s="62">
        <f t="shared" ca="1" si="47"/>
        <v>16.195162976154954</v>
      </c>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48">+(J140-K140)</f>
        <v>-4.5168657534246393</v>
      </c>
      <c r="L199" s="16">
        <f t="shared" si="48"/>
        <v>-6.3433733424657532</v>
      </c>
      <c r="M199" s="16">
        <f t="shared" si="48"/>
        <v>-6.7874094764383699</v>
      </c>
      <c r="N199" s="16">
        <f t="shared" si="48"/>
        <v>-7.2625281397890546</v>
      </c>
      <c r="O199" s="16">
        <f t="shared" si="48"/>
        <v>-7.7709051095742865</v>
      </c>
    </row>
    <row r="200" spans="2:15" ht="12.95" customHeight="1" x14ac:dyDescent="0.2">
      <c r="B200" s="1" t="str">
        <f>+"(Increase) / Decrease in "&amp;B141</f>
        <v>(Increase) / Decrease in Inventories</v>
      </c>
      <c r="H200" s="38"/>
      <c r="I200" s="38"/>
      <c r="J200" s="38"/>
      <c r="K200" s="16">
        <f t="shared" si="48"/>
        <v>-4.2586686249870525</v>
      </c>
      <c r="L200" s="16">
        <f t="shared" si="48"/>
        <v>-4.2166480077551114</v>
      </c>
      <c r="M200" s="16">
        <f t="shared" si="48"/>
        <v>-4.4949602767408265</v>
      </c>
      <c r="N200" s="16">
        <f t="shared" si="48"/>
        <v>-4.7915746881465395</v>
      </c>
      <c r="O200" s="16">
        <f t="shared" si="48"/>
        <v>-5.1076898117930227</v>
      </c>
    </row>
    <row r="201" spans="2:15" ht="12.95" customHeight="1" x14ac:dyDescent="0.2">
      <c r="B201" s="1" t="str">
        <f>+"(Increase) / Decrease in "&amp;B142</f>
        <v>(Increase) / Decrease in Prepaid Expenses</v>
      </c>
      <c r="H201" s="38"/>
      <c r="I201" s="38"/>
      <c r="J201" s="38"/>
      <c r="K201" s="16">
        <f t="shared" si="48"/>
        <v>-0.84493619999999936</v>
      </c>
      <c r="L201" s="16">
        <f t="shared" si="48"/>
        <v>-2.0066204339999985</v>
      </c>
      <c r="M201" s="16">
        <f t="shared" si="48"/>
        <v>-2.1470838643800079</v>
      </c>
      <c r="N201" s="16">
        <f t="shared" si="48"/>
        <v>-2.2973797348865972</v>
      </c>
      <c r="O201" s="16">
        <f t="shared" si="48"/>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49">+K151-J151</f>
        <v>5.1904433589041119</v>
      </c>
      <c r="L203" s="16">
        <f t="shared" si="49"/>
        <v>3.396423326794519</v>
      </c>
      <c r="M203" s="16">
        <f t="shared" si="49"/>
        <v>3.62059814071727</v>
      </c>
      <c r="N203" s="16">
        <f t="shared" si="49"/>
        <v>3.8595149542878886</v>
      </c>
      <c r="O203" s="16">
        <f t="shared" si="49"/>
        <v>4.1141391908688973</v>
      </c>
    </row>
    <row r="204" spans="2:15" ht="12.95" customHeight="1" x14ac:dyDescent="0.2">
      <c r="B204" s="1" t="str">
        <f>+"Increase / (Decrease) in "&amp;B152</f>
        <v>Increase / (Decrease) in Accrued Liabilities</v>
      </c>
      <c r="H204" s="38"/>
      <c r="I204" s="38"/>
      <c r="J204" s="38"/>
      <c r="K204" s="16">
        <f t="shared" si="49"/>
        <v>5.0838265539000034</v>
      </c>
      <c r="L204" s="16">
        <f t="shared" si="49"/>
        <v>3.5497115477460071</v>
      </c>
      <c r="M204" s="16">
        <f t="shared" si="49"/>
        <v>3.7814275859163331</v>
      </c>
      <c r="N204" s="16">
        <f t="shared" si="49"/>
        <v>4.0281902828465519</v>
      </c>
      <c r="O204" s="16">
        <f t="shared" si="49"/>
        <v>4.2909707621760305</v>
      </c>
    </row>
    <row r="205" spans="2:15" ht="12.95" customHeight="1" x14ac:dyDescent="0.2">
      <c r="B205" s="1" t="str">
        <f>+"Increase / (Decrease) in "&amp;B153</f>
        <v>Increase / (Decrease) in Deferred Revenue</v>
      </c>
      <c r="H205" s="38"/>
      <c r="I205" s="38"/>
      <c r="J205" s="38"/>
      <c r="K205" s="16">
        <f t="shared" si="49"/>
        <v>11.334509999999995</v>
      </c>
      <c r="L205" s="16">
        <f t="shared" si="49"/>
        <v>3.8588854500000025</v>
      </c>
      <c r="M205" s="16">
        <f t="shared" si="49"/>
        <v>4.129007431500014</v>
      </c>
      <c r="N205" s="16">
        <f t="shared" si="49"/>
        <v>4.4180379517050028</v>
      </c>
      <c r="O205" s="16">
        <f t="shared" si="49"/>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 ca="1">+SUM(K193:K196,K207)</f>
        <v>126.44027560367149</v>
      </c>
      <c r="L209" s="22">
        <f ca="1">+SUM(L193:L196,L207)</f>
        <v>137.32187766240475</v>
      </c>
      <c r="M209" s="22">
        <f ca="1">+SUM(M193:M196,M207)</f>
        <v>158.67372650667141</v>
      </c>
      <c r="N209" s="22">
        <f ca="1">+SUM(N193:N196,N207)</f>
        <v>182.20570604559188</v>
      </c>
      <c r="O209" s="23">
        <f ca="1">+SUM(O193:O196,O207)</f>
        <v>203.7431051299435</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 ca="1">+L228</f>
        <v>-7.787466799999998</v>
      </c>
      <c r="M216" s="16">
        <f ca="1">+M228</f>
        <v>-7.787466799999998</v>
      </c>
      <c r="N216" s="16">
        <f ca="1">+N228</f>
        <v>-7.787466799999998</v>
      </c>
      <c r="O216" s="16">
        <f ca="1">+O228</f>
        <v>0</v>
      </c>
    </row>
    <row r="217" spans="1:15" ht="12.95" customHeight="1" x14ac:dyDescent="0.2">
      <c r="B217" s="3" t="s">
        <v>83</v>
      </c>
      <c r="C217" s="3"/>
      <c r="D217" s="3"/>
      <c r="E217" s="3"/>
      <c r="F217" s="3"/>
      <c r="G217" s="3"/>
      <c r="H217" s="27"/>
      <c r="I217" s="27"/>
      <c r="J217" s="27"/>
      <c r="K217" s="66">
        <f ca="1">+K245</f>
        <v>-67.897452753671487</v>
      </c>
      <c r="L217" s="66">
        <f ca="1">+L245</f>
        <v>-79.986321684404743</v>
      </c>
      <c r="M217" s="66">
        <f ca="1">+M245</f>
        <v>-97.238656007396401</v>
      </c>
      <c r="N217" s="66">
        <f ca="1">+N245</f>
        <v>-116.33997462903557</v>
      </c>
      <c r="O217" s="66">
        <f ca="1">+O245</f>
        <v>-140.87676032581294</v>
      </c>
    </row>
    <row r="218" spans="1:15" s="76" customFormat="1" ht="12.95" customHeight="1" x14ac:dyDescent="0.2">
      <c r="B218" s="69" t="s">
        <v>84</v>
      </c>
      <c r="C218" s="69"/>
      <c r="D218" s="69"/>
      <c r="E218" s="69"/>
      <c r="F218" s="69"/>
      <c r="G218" s="69"/>
      <c r="H218" s="210"/>
      <c r="I218" s="210"/>
      <c r="J218" s="210"/>
      <c r="K218" s="71">
        <f ca="1">+SUM(K216:K217)</f>
        <v>-75.684919553671492</v>
      </c>
      <c r="L218" s="71">
        <f ca="1">+SUM(L216:L217)</f>
        <v>-87.773788484404747</v>
      </c>
      <c r="M218" s="71">
        <f ca="1">+SUM(M216:M217)</f>
        <v>-105.0261228073964</v>
      </c>
      <c r="N218" s="71">
        <f ca="1">+SUM(N216:N217)</f>
        <v>-124.12744142903557</v>
      </c>
      <c r="O218" s="71">
        <f ca="1">+SUM(O216:O217)</f>
        <v>-140.87676032581294</v>
      </c>
    </row>
    <row r="220" spans="1:15" ht="12.95" customHeight="1" x14ac:dyDescent="0.2">
      <c r="B220" s="207" t="s">
        <v>87</v>
      </c>
      <c r="C220" s="208"/>
      <c r="D220" s="208"/>
      <c r="E220" s="208"/>
      <c r="F220" s="208"/>
      <c r="G220" s="208"/>
      <c r="H220" s="209"/>
      <c r="I220" s="209"/>
      <c r="J220" s="209"/>
      <c r="K220" s="22">
        <f ca="1">+K209+K213+K218</f>
        <v>5</v>
      </c>
      <c r="L220" s="22">
        <f ca="1">+L209+L213+L218</f>
        <v>0</v>
      </c>
      <c r="M220" s="22">
        <f ca="1">+M209+M213+M218</f>
        <v>0</v>
      </c>
      <c r="N220" s="22">
        <f ca="1">+N209+N213+N218</f>
        <v>0</v>
      </c>
      <c r="O220" s="2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 ca="1">+L268</f>
        <v>-7.787466799999998</v>
      </c>
      <c r="M227" s="211">
        <f ca="1">+M268</f>
        <v>-7.787466799999998</v>
      </c>
      <c r="N227" s="211">
        <f ca="1">+N268</f>
        <v>-7.787466799999998</v>
      </c>
      <c r="O227" s="211">
        <f ca="1">+O268</f>
        <v>0</v>
      </c>
    </row>
    <row r="228" spans="2:15" s="76" customFormat="1" ht="12.95" customHeight="1" x14ac:dyDescent="0.2">
      <c r="B228" s="69" t="s">
        <v>74</v>
      </c>
      <c r="C228" s="69"/>
      <c r="D228" s="69"/>
      <c r="E228" s="69"/>
      <c r="F228" s="69"/>
      <c r="G228" s="69"/>
      <c r="H228" s="212"/>
      <c r="I228" s="212"/>
      <c r="J228" s="212"/>
      <c r="K228" s="71">
        <f>+SUM(K227)</f>
        <v>-7.787466799999998</v>
      </c>
      <c r="L228" s="71">
        <f ca="1">+SUM(L227)</f>
        <v>-7.787466799999998</v>
      </c>
      <c r="M228" s="71">
        <f ca="1">+SUM(M227)</f>
        <v>-7.787466799999998</v>
      </c>
      <c r="N228" s="71">
        <f ca="1">+SUM(N227)</f>
        <v>-7.787466799999998</v>
      </c>
      <c r="O228" s="71">
        <f ca="1">+SUM(O227)</f>
        <v>0</v>
      </c>
    </row>
    <row r="230" spans="2:15" ht="12.95" customHeight="1" x14ac:dyDescent="0.2">
      <c r="B230" s="24" t="s">
        <v>196</v>
      </c>
    </row>
    <row r="231" spans="2:15" ht="12.95" customHeight="1" x14ac:dyDescent="0.2">
      <c r="B231" s="1" t="s">
        <v>122</v>
      </c>
      <c r="K231" s="16">
        <f ca="1">+K209+K213</f>
        <v>80.684919553671492</v>
      </c>
      <c r="L231" s="16">
        <f ca="1">+L209+L213</f>
        <v>87.773788484404747</v>
      </c>
      <c r="M231" s="16">
        <f ca="1">+M209+M213</f>
        <v>105.0261228073964</v>
      </c>
      <c r="N231" s="16">
        <f ca="1">+N209+N213</f>
        <v>124.12744142903557</v>
      </c>
      <c r="O231" s="16">
        <f ca="1">+O209+O213</f>
        <v>140.87676032581294</v>
      </c>
    </row>
    <row r="232" spans="2:15" ht="12.95" customHeight="1" x14ac:dyDescent="0.2">
      <c r="B232" s="1" t="s">
        <v>123</v>
      </c>
      <c r="K232" s="16">
        <f>+K228</f>
        <v>-7.787466799999998</v>
      </c>
      <c r="L232" s="16">
        <f ca="1">+L228</f>
        <v>-7.787466799999998</v>
      </c>
      <c r="M232" s="16">
        <f ca="1">+M228</f>
        <v>-7.787466799999998</v>
      </c>
      <c r="N232" s="16">
        <f ca="1">+N228</f>
        <v>-7.787466799999998</v>
      </c>
      <c r="O232" s="16">
        <f ca="1">+O228</f>
        <v>0</v>
      </c>
    </row>
    <row r="233" spans="2:15" s="76" customFormat="1" ht="12.95" customHeight="1" x14ac:dyDescent="0.2">
      <c r="B233" s="20" t="s">
        <v>75</v>
      </c>
      <c r="C233" s="21"/>
      <c r="D233" s="21"/>
      <c r="E233" s="21"/>
      <c r="F233" s="21"/>
      <c r="G233" s="21"/>
      <c r="H233" s="21"/>
      <c r="I233" s="21"/>
      <c r="J233" s="21"/>
      <c r="K233" s="22">
        <f ca="1">SUM(K231:K232)</f>
        <v>72.897452753671487</v>
      </c>
      <c r="L233" s="22">
        <f ca="1">SUM(L231:L232)</f>
        <v>79.986321684404743</v>
      </c>
      <c r="M233" s="22">
        <f ca="1">SUM(M231:M232)</f>
        <v>97.238656007396401</v>
      </c>
      <c r="N233" s="22">
        <f ca="1">SUM(N231:N232)</f>
        <v>116.33997462903557</v>
      </c>
      <c r="O233" s="23">
        <f ca="1">SUM(O231:O232)</f>
        <v>140.87676032581294</v>
      </c>
    </row>
    <row r="235" spans="2:15" ht="12.95" customHeight="1" x14ac:dyDescent="0.2">
      <c r="B235" s="1" t="s">
        <v>76</v>
      </c>
      <c r="H235" s="38"/>
      <c r="I235" s="38"/>
      <c r="J235" s="38"/>
      <c r="K235" s="16">
        <f>+J139</f>
        <v>0</v>
      </c>
      <c r="L235" s="16">
        <f ca="1">+K139</f>
        <v>5</v>
      </c>
      <c r="M235" s="16">
        <f ca="1">+L139</f>
        <v>5</v>
      </c>
      <c r="N235" s="16">
        <f ca="1">+M139</f>
        <v>5</v>
      </c>
      <c r="O235" s="16">
        <f ca="1">+N139</f>
        <v>5</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 ca="1">+K233</f>
        <v>72.897452753671487</v>
      </c>
      <c r="L237" s="35">
        <f ca="1">+L233</f>
        <v>79.986321684404743</v>
      </c>
      <c r="M237" s="35">
        <f ca="1">+M233</f>
        <v>97.238656007396401</v>
      </c>
      <c r="N237" s="35">
        <f ca="1">+N233</f>
        <v>116.33997462903557</v>
      </c>
      <c r="O237" s="35">
        <f ca="1">+O233</f>
        <v>140.87676032581294</v>
      </c>
    </row>
    <row r="238" spans="2:15" s="76" customFormat="1" ht="12.95" customHeight="1" x14ac:dyDescent="0.2">
      <c r="B238" s="20" t="s">
        <v>86</v>
      </c>
      <c r="C238" s="21"/>
      <c r="D238" s="21"/>
      <c r="E238" s="21"/>
      <c r="F238" s="21"/>
      <c r="G238" s="21"/>
      <c r="H238" s="172"/>
      <c r="I238" s="172"/>
      <c r="J238" s="172"/>
      <c r="K238" s="22">
        <f ca="1">SUM(K235:K237)</f>
        <v>67.897452753671487</v>
      </c>
      <c r="L238" s="22">
        <f ca="1">SUM(L235:L237)</f>
        <v>79.986321684404743</v>
      </c>
      <c r="M238" s="22">
        <f ca="1">SUM(M235:M237)</f>
        <v>97.238656007396401</v>
      </c>
      <c r="N238" s="22">
        <f ca="1">SUM(N235:N237)</f>
        <v>116.33997462903557</v>
      </c>
      <c r="O238" s="23">
        <f ca="1">SUM(O235:O237)</f>
        <v>140.87676032581294</v>
      </c>
    </row>
    <row r="240" spans="2:15" s="76" customFormat="1" ht="12.95" customHeight="1" x14ac:dyDescent="0.2">
      <c r="B240" s="24" t="s">
        <v>79</v>
      </c>
    </row>
    <row r="241" spans="1:15" ht="12.95" customHeight="1" x14ac:dyDescent="0.2">
      <c r="B241" s="1" t="str">
        <f>+B159</f>
        <v>Revolving Credit Facility</v>
      </c>
      <c r="K241" s="16">
        <f ca="1">+K255</f>
        <v>0</v>
      </c>
      <c r="L241" s="16">
        <f ca="1">+L255</f>
        <v>0</v>
      </c>
      <c r="M241" s="16">
        <f ca="1">+M255</f>
        <v>0</v>
      </c>
      <c r="N241" s="16">
        <f ca="1">+N255</f>
        <v>0</v>
      </c>
      <c r="O241" s="16">
        <f ca="1">+O255</f>
        <v>0</v>
      </c>
    </row>
    <row r="242" spans="1:15" ht="12.95" customHeight="1" x14ac:dyDescent="0.2">
      <c r="B242" s="1" t="str">
        <f>+B160</f>
        <v>First Lien Term Loan</v>
      </c>
      <c r="K242" s="16">
        <f ca="1">+K269</f>
        <v>-67.897452753671487</v>
      </c>
      <c r="L242" s="16">
        <f ca="1">+L269</f>
        <v>-79.986321684404743</v>
      </c>
      <c r="M242" s="16">
        <f ca="1">+M269</f>
        <v>-97.238656007396401</v>
      </c>
      <c r="N242" s="16">
        <f ca="1">+N269</f>
        <v>-113.10104235452724</v>
      </c>
      <c r="O242" s="16">
        <f ca="1">+O269</f>
        <v>0</v>
      </c>
    </row>
    <row r="243" spans="1:15" ht="12.95" customHeight="1" x14ac:dyDescent="0.2">
      <c r="B243" s="1" t="str">
        <f>+B161</f>
        <v>Second Lien Term Loan</v>
      </c>
      <c r="K243" s="16">
        <f ca="1">+K280</f>
        <v>0</v>
      </c>
      <c r="L243" s="16">
        <f ca="1">+L280</f>
        <v>0</v>
      </c>
      <c r="M243" s="16">
        <f ca="1">+M280</f>
        <v>0</v>
      </c>
      <c r="N243" s="16">
        <f ca="1">+N280</f>
        <v>-3.2389322745083291</v>
      </c>
      <c r="O243" s="16">
        <f ca="1">+O280</f>
        <v>-140.87676032581294</v>
      </c>
    </row>
    <row r="244" spans="1:15" ht="12.95" customHeight="1" x14ac:dyDescent="0.2">
      <c r="B244" s="3" t="str">
        <f>+B162</f>
        <v>Notes</v>
      </c>
      <c r="C244" s="3"/>
      <c r="D244" s="3"/>
      <c r="E244" s="3"/>
      <c r="F244" s="3"/>
      <c r="G244" s="3"/>
      <c r="H244" s="3"/>
      <c r="I244" s="3"/>
      <c r="J244" s="3"/>
      <c r="K244" s="66">
        <f ca="1">+K290</f>
        <v>0</v>
      </c>
      <c r="L244" s="66">
        <f ca="1">+L290</f>
        <v>0</v>
      </c>
      <c r="M244" s="66">
        <f ca="1">+M290</f>
        <v>0</v>
      </c>
      <c r="N244" s="66">
        <f ca="1">+N290</f>
        <v>0</v>
      </c>
      <c r="O244" s="66">
        <f ca="1">+O290</f>
        <v>0</v>
      </c>
    </row>
    <row r="245" spans="1:15" s="76" customFormat="1" ht="12.95" customHeight="1" x14ac:dyDescent="0.2">
      <c r="B245" s="69" t="s">
        <v>80</v>
      </c>
      <c r="C245" s="69"/>
      <c r="D245" s="69"/>
      <c r="E245" s="69"/>
      <c r="F245" s="69"/>
      <c r="G245" s="69"/>
      <c r="H245" s="69"/>
      <c r="I245" s="69"/>
      <c r="J245" s="69"/>
      <c r="K245" s="71">
        <f ca="1">SUM(K241:K244)</f>
        <v>-67.897452753671487</v>
      </c>
      <c r="L245" s="71">
        <f ca="1">SUM(L241:L244)</f>
        <v>-79.986321684404743</v>
      </c>
      <c r="M245" s="71">
        <f ca="1">SUM(M241:M244)</f>
        <v>-97.238656007396401</v>
      </c>
      <c r="N245" s="71">
        <f ca="1">SUM(N241:N244)</f>
        <v>-116.33997462903557</v>
      </c>
      <c r="O245" s="71">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206"/>
      <c r="M249" s="206"/>
      <c r="N249" s="206"/>
      <c r="O249" s="206"/>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13">
        <v>0.02</v>
      </c>
      <c r="L251" s="214">
        <f>+K251</f>
        <v>0.02</v>
      </c>
      <c r="M251" s="214">
        <f>+L251</f>
        <v>0.02</v>
      </c>
      <c r="N251" s="214">
        <f>+M251</f>
        <v>0.02</v>
      </c>
      <c r="O251" s="214">
        <f>+N251</f>
        <v>0.02</v>
      </c>
    </row>
    <row r="252" spans="1:15" s="4" customFormat="1" ht="12.95" customHeight="1" x14ac:dyDescent="0.2">
      <c r="K252" s="118"/>
      <c r="L252" s="118"/>
      <c r="M252" s="118"/>
      <c r="N252" s="118"/>
      <c r="O252" s="118"/>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15">
        <f>+J159</f>
        <v>0</v>
      </c>
      <c r="L254" s="54">
        <f ca="1">+K256</f>
        <v>0</v>
      </c>
      <c r="M254" s="54">
        <f ca="1">+L256</f>
        <v>0</v>
      </c>
      <c r="N254" s="54">
        <f ca="1">+M256</f>
        <v>0</v>
      </c>
      <c r="O254" s="54">
        <f ca="1">+N256</f>
        <v>0</v>
      </c>
    </row>
    <row r="255" spans="1:15" ht="12.95" customHeight="1" x14ac:dyDescent="0.2">
      <c r="B255" s="3" t="s">
        <v>94</v>
      </c>
      <c r="C255" s="3"/>
      <c r="D255" s="3"/>
      <c r="E255" s="3"/>
      <c r="F255" s="3"/>
      <c r="G255" s="3"/>
      <c r="H255" s="3"/>
      <c r="I255" s="3"/>
      <c r="J255" s="3"/>
      <c r="K255" s="66">
        <f ca="1">-MIN(K238,K254)</f>
        <v>0</v>
      </c>
      <c r="L255" s="66">
        <f ca="1">-MIN(L238,L254)</f>
        <v>0</v>
      </c>
      <c r="M255" s="66">
        <f ca="1">-MIN(M238,M254)</f>
        <v>0</v>
      </c>
      <c r="N255" s="66">
        <f ca="1">-MIN(N238,N254)</f>
        <v>0</v>
      </c>
      <c r="O255" s="66">
        <f ca="1">-MIN(O238,O254)</f>
        <v>0</v>
      </c>
    </row>
    <row r="256" spans="1:15" ht="12.95" customHeight="1" x14ac:dyDescent="0.2">
      <c r="B256" s="69" t="s">
        <v>192</v>
      </c>
      <c r="C256" s="69"/>
      <c r="D256" s="69"/>
      <c r="E256" s="69"/>
      <c r="F256" s="69"/>
      <c r="G256" s="69"/>
      <c r="H256" s="69"/>
      <c r="I256" s="69"/>
      <c r="J256" s="69"/>
      <c r="K256" s="71">
        <f ca="1">SUM(K254:K255)</f>
        <v>0</v>
      </c>
      <c r="L256" s="71">
        <f ca="1">SUM(L254:L255)</f>
        <v>0</v>
      </c>
      <c r="M256" s="71">
        <f ca="1">SUM(M254:M255)</f>
        <v>0</v>
      </c>
      <c r="N256" s="71">
        <f ca="1">SUM(N254:N255)</f>
        <v>0</v>
      </c>
      <c r="O256" s="71">
        <f ca="1">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 ca="1">+AVERAGE(K254,K256)</f>
        <v>0</v>
      </c>
      <c r="L258" s="35">
        <f ca="1">+AVERAGE(L254,L256)</f>
        <v>0</v>
      </c>
      <c r="M258" s="35">
        <f ca="1">+AVERAGE(M254,M256)</f>
        <v>0</v>
      </c>
      <c r="N258" s="35">
        <f ca="1">+AVERAGE(N254,N256)</f>
        <v>0</v>
      </c>
      <c r="O258" s="35">
        <f ca="1">+AVERAGE(O254,O256)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f ca="1">+IF($E$5=1,K258,0)*K259</f>
        <v>0</v>
      </c>
      <c r="L260" s="54">
        <f ca="1">+IF($E$5=1,L258,0)*L259</f>
        <v>0</v>
      </c>
      <c r="M260" s="54">
        <f ca="1">+IF($E$5=1,M258,0)*M259</f>
        <v>0</v>
      </c>
      <c r="N260" s="54">
        <f ca="1">+IF($E$5=1,N258,0)*N259</f>
        <v>0</v>
      </c>
      <c r="O260" s="54">
        <f ca="1">+IF($E$5=1,O258,0)*O259</f>
        <v>0</v>
      </c>
    </row>
    <row r="261" spans="2:15" s="4" customFormat="1" ht="12.95" customHeight="1" x14ac:dyDescent="0.2">
      <c r="B261" s="4" t="s">
        <v>158</v>
      </c>
      <c r="G261" s="4" t="s">
        <v>147</v>
      </c>
      <c r="I261" s="218">
        <v>25</v>
      </c>
      <c r="K261" s="15">
        <f ca="1">+IF($E$5=1,($I$258-K258),0)*$I$261/10000</f>
        <v>0.25</v>
      </c>
      <c r="L261" s="15">
        <f ca="1">+IF($E$5=1,($I$258-L258),0)*$I$261/10000</f>
        <v>0.25</v>
      </c>
      <c r="M261" s="15">
        <f ca="1">+IF($E$5=1,($I$258-M258),0)*$I$261/10000</f>
        <v>0.25</v>
      </c>
      <c r="N261" s="15">
        <f ca="1">+IF($E$5=1,($I$258-N258),0)*$I$261/10000</f>
        <v>0.25</v>
      </c>
      <c r="O261" s="15">
        <f ca="1">+IF($E$5=1,($I$258-O258),0)*$I$261/10000</f>
        <v>0.25</v>
      </c>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 ca="1">+IF(K256&gt;$I$258,1,0)</f>
        <v>0</v>
      </c>
      <c r="L264" s="14">
        <f ca="1">+IF(L256&gt;$I$258,1,0)</f>
        <v>0</v>
      </c>
      <c r="M264" s="14">
        <f ca="1">+IF(M256&gt;$I$258,1,0)</f>
        <v>0</v>
      </c>
      <c r="N264" s="14">
        <f ca="1">+IF(N256&gt;$I$258,1,0)</f>
        <v>0</v>
      </c>
      <c r="O264" s="14">
        <f ca="1">+IF(O256&gt;$I$258,1,0)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 ca="1">+K270</f>
        <v>313.68842044632839</v>
      </c>
      <c r="M267" s="54">
        <f ca="1">+L270</f>
        <v>225.91463196192365</v>
      </c>
      <c r="N267" s="54">
        <f ca="1">+M270</f>
        <v>120.88850915452724</v>
      </c>
      <c r="O267" s="54">
        <f ca="1">+N270</f>
        <v>0</v>
      </c>
    </row>
    <row r="268" spans="2:15" s="4" customFormat="1" ht="12.95" customHeight="1" x14ac:dyDescent="0.2">
      <c r="B268" s="33" t="s">
        <v>92</v>
      </c>
      <c r="G268" s="4" t="s">
        <v>97</v>
      </c>
      <c r="I268" s="219">
        <v>0.02</v>
      </c>
      <c r="K268" s="35">
        <f>-MIN($K$267*$I$268,K267)</f>
        <v>-7.787466799999998</v>
      </c>
      <c r="L268" s="35">
        <f ca="1">-MIN($K$267*$I$268,L267)</f>
        <v>-7.787466799999998</v>
      </c>
      <c r="M268" s="35">
        <f ca="1">-MIN($K$267*$I$268,M267)</f>
        <v>-7.787466799999998</v>
      </c>
      <c r="N268" s="35">
        <f ca="1">-MIN($K$267*$I$268,N267)</f>
        <v>-7.787466799999998</v>
      </c>
      <c r="O268" s="35">
        <f ca="1">-MIN($K$267*$I$268,O267)</f>
        <v>0</v>
      </c>
    </row>
    <row r="269" spans="2:15" ht="12.95" customHeight="1" x14ac:dyDescent="0.2">
      <c r="B269" s="3" t="s">
        <v>89</v>
      </c>
      <c r="C269" s="3"/>
      <c r="D269" s="3"/>
      <c r="E269" s="3"/>
      <c r="F269" s="3"/>
      <c r="G269" s="3"/>
      <c r="H269" s="3"/>
      <c r="I269" s="3"/>
      <c r="J269" s="3"/>
      <c r="K269" s="66">
        <f ca="1">-MIN(SUM(K267:K268),SUM(K238:K241))</f>
        <v>-67.897452753671487</v>
      </c>
      <c r="L269" s="66">
        <f ca="1">-MIN(SUM(L267:L268),SUM(L238:L241))</f>
        <v>-79.986321684404743</v>
      </c>
      <c r="M269" s="66">
        <f ca="1">-MIN(SUM(M267:M268),SUM(M238:M241))</f>
        <v>-97.238656007396401</v>
      </c>
      <c r="N269" s="66">
        <f ca="1">-MIN(SUM(N267:N268),SUM(N238:N241))</f>
        <v>-113.10104235452724</v>
      </c>
      <c r="O269" s="66">
        <f ca="1">-MIN(SUM(O267:O268),SUM(O238:O241))</f>
        <v>0</v>
      </c>
    </row>
    <row r="270" spans="2:15" ht="12.95" customHeight="1" x14ac:dyDescent="0.2">
      <c r="B270" s="69" t="s">
        <v>192</v>
      </c>
      <c r="C270" s="69"/>
      <c r="D270" s="69"/>
      <c r="E270" s="69"/>
      <c r="F270" s="69"/>
      <c r="G270" s="69"/>
      <c r="H270" s="4"/>
      <c r="I270" s="69"/>
      <c r="J270" s="69"/>
      <c r="K270" s="71">
        <f ca="1">SUM(K267:K269)</f>
        <v>313.68842044632839</v>
      </c>
      <c r="L270" s="71">
        <f ca="1">SUM(L267:L269)</f>
        <v>225.91463196192365</v>
      </c>
      <c r="M270" s="71">
        <f ca="1">SUM(M267:M269)</f>
        <v>120.88850915452724</v>
      </c>
      <c r="N270" s="71">
        <f ca="1">SUM(N267:N269)</f>
        <v>0</v>
      </c>
      <c r="O270" s="71">
        <f ca="1">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 ca="1">+AVERAGE(K267,K270)</f>
        <v>351.5308802231641</v>
      </c>
      <c r="L272" s="16">
        <f ca="1">+AVERAGE(L267,L270)</f>
        <v>269.80152620412605</v>
      </c>
      <c r="M272" s="16">
        <f ca="1">+AVERAGE(M267,M270)</f>
        <v>173.40157055822544</v>
      </c>
      <c r="N272" s="16">
        <f ca="1">+AVERAGE(N267,N270)</f>
        <v>60.444254577263621</v>
      </c>
      <c r="O272" s="16">
        <f ca="1">+AVERAGE(O267,O270)</f>
        <v>0</v>
      </c>
    </row>
    <row r="273" spans="2:15"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f ca="1">+IF($E$5=1,K272,0)*K273</f>
        <v>19.334198412274027</v>
      </c>
      <c r="L274" s="54">
        <f ca="1">+IF($E$5=1,L272,0)*L273</f>
        <v>14.839083941226935</v>
      </c>
      <c r="M274" s="54">
        <f ca="1">+IF($E$5=1,M272,0)*M273</f>
        <v>9.5370863807024016</v>
      </c>
      <c r="N274" s="54">
        <f ca="1">+IF($E$5=1,N272,0)*N273</f>
        <v>3.3244340017494998</v>
      </c>
      <c r="O274" s="54">
        <f ca="1">+IF($E$5=1,O272,0)*O273</f>
        <v>0</v>
      </c>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20">
        <f>+J161</f>
        <v>194.68666999999994</v>
      </c>
      <c r="L278" s="54">
        <f ca="1">+K281</f>
        <v>210.91055916666659</v>
      </c>
      <c r="M278" s="54">
        <f t="shared" ref="M278:O278" ca="1" si="50">+L281</f>
        <v>228.48643909722213</v>
      </c>
      <c r="N278" s="54">
        <f t="shared" ca="1" si="50"/>
        <v>247.5269756886573</v>
      </c>
      <c r="O278" s="54">
        <f t="shared" ca="1" si="50"/>
        <v>264.78033587676589</v>
      </c>
    </row>
    <row r="279" spans="2:15" s="4" customFormat="1" ht="12.95" customHeight="1" x14ac:dyDescent="0.2">
      <c r="B279" s="4" t="s">
        <v>109</v>
      </c>
      <c r="K279" s="222">
        <f ca="1">+IF($E$5=1,K283,0)*K284*$I$283</f>
        <v>16.223889166666662</v>
      </c>
      <c r="L279" s="62">
        <f ca="1">+IF($E$5=1,L283,0)*L284*$I$283</f>
        <v>17.575879930555548</v>
      </c>
      <c r="M279" s="62">
        <f ca="1">+IF($E$5=1,M283,0)*M284*$I$283</f>
        <v>19.040536591435178</v>
      </c>
      <c r="N279" s="62">
        <f ca="1">+IF($E$5=1,N283,0)*N284*$I$283</f>
        <v>20.49229246261693</v>
      </c>
      <c r="O279" s="62">
        <f ca="1">+IF($E$5=1,O283,0)*O284*$I$283</f>
        <v>16.195162976154954</v>
      </c>
    </row>
    <row r="280" spans="2:15" s="4" customFormat="1" ht="12.95" customHeight="1" x14ac:dyDescent="0.2">
      <c r="B280" s="3" t="s">
        <v>89</v>
      </c>
      <c r="C280" s="3"/>
      <c r="D280" s="3"/>
      <c r="E280" s="3"/>
      <c r="F280" s="3"/>
      <c r="G280" s="3"/>
      <c r="H280" s="3"/>
      <c r="I280" s="3"/>
      <c r="J280" s="3"/>
      <c r="K280" s="66">
        <f ca="1">-MIN(SUM(K278:K279),SUM(K238:K242))</f>
        <v>0</v>
      </c>
      <c r="L280" s="66">
        <f ca="1">-MIN(SUM(L278:L279),SUM(L238:L242))</f>
        <v>0</v>
      </c>
      <c r="M280" s="66">
        <f ca="1">-MIN(SUM(M278:M279),SUM(M238:M242))</f>
        <v>0</v>
      </c>
      <c r="N280" s="66">
        <f ca="1">-MIN(SUM(N278:N279),SUM(N238:N242))</f>
        <v>-3.2389322745083291</v>
      </c>
      <c r="O280" s="66">
        <f ca="1">-MIN(SUM(O278:O279),SUM(O238:O242))</f>
        <v>-140.87676032581294</v>
      </c>
    </row>
    <row r="281" spans="2:15" s="4" customFormat="1" ht="12.95" customHeight="1" x14ac:dyDescent="0.2">
      <c r="B281" s="69" t="s">
        <v>192</v>
      </c>
      <c r="C281" s="69"/>
      <c r="D281" s="69"/>
      <c r="E281" s="69"/>
      <c r="F281" s="69"/>
      <c r="G281" s="69"/>
      <c r="I281" s="69"/>
      <c r="J281" s="69"/>
      <c r="K281" s="71">
        <f ca="1">SUM(K278:K280)</f>
        <v>210.91055916666659</v>
      </c>
      <c r="L281" s="71">
        <f ca="1">SUM(L278:L280)</f>
        <v>228.48643909722213</v>
      </c>
      <c r="M281" s="71">
        <f ca="1">SUM(M278:M280)</f>
        <v>247.5269756886573</v>
      </c>
      <c r="N281" s="71">
        <f ca="1">SUM(N278:N280)</f>
        <v>264.78033587676589</v>
      </c>
      <c r="O281" s="71">
        <f ca="1">SUM(O278:O280)</f>
        <v>140.09873852710791</v>
      </c>
    </row>
    <row r="282" spans="2:15" ht="12.95" customHeight="1" x14ac:dyDescent="0.2">
      <c r="B282" s="69"/>
      <c r="C282" s="69"/>
      <c r="D282" s="69"/>
      <c r="E282" s="69"/>
      <c r="F282" s="69"/>
      <c r="G282" s="69"/>
      <c r="H282" s="4"/>
      <c r="I282" s="69"/>
      <c r="J282" s="69"/>
      <c r="K282" s="154"/>
      <c r="L282" s="154"/>
      <c r="M282" s="154"/>
      <c r="N282" s="154"/>
      <c r="O282" s="154"/>
    </row>
    <row r="283" spans="2:15" ht="12.95" customHeight="1" x14ac:dyDescent="0.2">
      <c r="B283" s="1" t="s">
        <v>91</v>
      </c>
      <c r="G283" s="1" t="s">
        <v>110</v>
      </c>
      <c r="I283" s="223">
        <v>1</v>
      </c>
      <c r="K283" s="16">
        <f ca="1">+AVERAGE(K278,K281)</f>
        <v>202.79861458333326</v>
      </c>
      <c r="L283" s="16">
        <f ca="1">+AVERAGE(L278,L281)</f>
        <v>219.69849913194435</v>
      </c>
      <c r="M283" s="16">
        <f ca="1">+AVERAGE(M278,M281)</f>
        <v>238.00670739293972</v>
      </c>
      <c r="N283" s="16">
        <f ca="1">+AVERAGE(N278,N281)</f>
        <v>256.15365578271161</v>
      </c>
      <c r="O283" s="16">
        <f ca="1">+AVERAGE(O278,O281)</f>
        <v>202.4395372019369</v>
      </c>
    </row>
    <row r="284" spans="2:15"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f ca="1">+IF($E$5=1,K283,0)*K284*(1-$I$283)</f>
        <v>0</v>
      </c>
      <c r="L285" s="54">
        <f ca="1">+IF($E$5=1,L283,0)*L284*(1-$I$283)</f>
        <v>0</v>
      </c>
      <c r="M285" s="54">
        <f ca="1">+IF($E$5=1,M283,0)*M284*(1-$I$283)</f>
        <v>0</v>
      </c>
      <c r="N285" s="54">
        <f ca="1">+IF($E$5=1,N283,0)*N284*(1-$I$283)</f>
        <v>0</v>
      </c>
      <c r="O285" s="54">
        <f ca="1">+IF($E$5=1,O283,0)*O284*(1-$I$283)</f>
        <v>0</v>
      </c>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5" s="4" customFormat="1" ht="12.95" customHeight="1" x14ac:dyDescent="0.2">
      <c r="B289" s="4" t="s">
        <v>93</v>
      </c>
      <c r="K289" s="215">
        <f>+J162</f>
        <v>486.71667499999984</v>
      </c>
      <c r="L289" s="54">
        <f ca="1">+K291</f>
        <v>486.71667499999984</v>
      </c>
      <c r="M289" s="54">
        <f ca="1">+L291</f>
        <v>486.71667499999984</v>
      </c>
      <c r="N289" s="54">
        <f ca="1">+M291</f>
        <v>486.71667499999984</v>
      </c>
      <c r="O289" s="54">
        <f ca="1">+N291</f>
        <v>486.71667499999984</v>
      </c>
    </row>
    <row r="290" spans="1:15" ht="12.95" customHeight="1" x14ac:dyDescent="0.2">
      <c r="B290" s="3" t="s">
        <v>98</v>
      </c>
      <c r="C290" s="3"/>
      <c r="D290" s="3"/>
      <c r="E290" s="3"/>
      <c r="F290" s="3"/>
      <c r="G290" s="3" t="s">
        <v>99</v>
      </c>
      <c r="H290" s="133"/>
      <c r="I290" s="224">
        <v>2026</v>
      </c>
      <c r="J290" s="3"/>
      <c r="K290" s="66">
        <f ca="1">-MIN(K289,SUM(K238:K243))*IF($I$290=K$250,1,0)</f>
        <v>0</v>
      </c>
      <c r="L290" s="66">
        <f t="shared" ref="L290:O290" ca="1" si="51">-MIN(L289,SUM(L238:L243))*IF($I$290=L$250,1,0)</f>
        <v>0</v>
      </c>
      <c r="M290" s="66">
        <f t="shared" ca="1" si="51"/>
        <v>0</v>
      </c>
      <c r="N290" s="66">
        <f t="shared" ca="1" si="51"/>
        <v>0</v>
      </c>
      <c r="O290" s="66">
        <f t="shared" ca="1" si="51"/>
        <v>0</v>
      </c>
    </row>
    <row r="291" spans="1:15" ht="12.95" customHeight="1" x14ac:dyDescent="0.2">
      <c r="B291" s="69" t="s">
        <v>192</v>
      </c>
      <c r="C291" s="69"/>
      <c r="D291" s="69"/>
      <c r="E291" s="69"/>
      <c r="F291" s="69"/>
      <c r="G291" s="69"/>
      <c r="H291" s="4"/>
      <c r="I291" s="69"/>
      <c r="J291" s="69"/>
      <c r="K291" s="71">
        <f ca="1">SUM(K289:K290)</f>
        <v>486.71667499999984</v>
      </c>
      <c r="L291" s="71">
        <f ca="1">SUM(L289:L290)</f>
        <v>486.71667499999984</v>
      </c>
      <c r="M291" s="71">
        <f ca="1">SUM(M289:M290)</f>
        <v>486.71667499999984</v>
      </c>
      <c r="N291" s="71">
        <f ca="1">SUM(N289:N290)</f>
        <v>486.71667499999984</v>
      </c>
      <c r="O291" s="71">
        <f ca="1">SUM(O289:O290)</f>
        <v>486.71667499999984</v>
      </c>
    </row>
    <row r="292" spans="1:15" ht="12.95" customHeight="1" x14ac:dyDescent="0.2">
      <c r="B292" s="69"/>
      <c r="C292" s="69"/>
      <c r="D292" s="69"/>
      <c r="E292" s="69"/>
      <c r="F292" s="69"/>
      <c r="G292" s="69"/>
      <c r="H292" s="4"/>
      <c r="I292" s="69"/>
      <c r="J292" s="69"/>
      <c r="K292" s="69"/>
      <c r="L292" s="69"/>
      <c r="M292" s="69"/>
      <c r="N292" s="69"/>
      <c r="O292" s="69"/>
    </row>
    <row r="293" spans="1:15" ht="12.95" customHeight="1" x14ac:dyDescent="0.2">
      <c r="B293" s="1" t="s">
        <v>91</v>
      </c>
      <c r="K293" s="16">
        <f ca="1">+AVERAGE(K289,K291)</f>
        <v>486.71667499999984</v>
      </c>
      <c r="L293" s="16">
        <f ca="1">+AVERAGE(L289,L291)</f>
        <v>486.71667499999984</v>
      </c>
      <c r="M293" s="16">
        <f ca="1">+AVERAGE(M289,M291)</f>
        <v>486.71667499999984</v>
      </c>
      <c r="N293" s="16">
        <f ca="1">+AVERAGE(N289,N291)</f>
        <v>486.71667499999984</v>
      </c>
      <c r="O293" s="16">
        <f ca="1">+AVERAGE(O289,O291)</f>
        <v>486.71667499999984</v>
      </c>
    </row>
    <row r="294" spans="1:15" s="4" customFormat="1" ht="12.95" customHeight="1" x14ac:dyDescent="0.2">
      <c r="B294" s="4" t="s">
        <v>21</v>
      </c>
      <c r="G294" s="4" t="s">
        <v>111</v>
      </c>
      <c r="I294" s="225">
        <v>0.1</v>
      </c>
      <c r="K294" s="54">
        <f ca="1">+IF($E$5=1,K293,0)*$I$294</f>
        <v>48.671667499999984</v>
      </c>
      <c r="L294" s="54">
        <f ca="1">+IF($E$5=1,L293,0)*$I$294</f>
        <v>48.671667499999984</v>
      </c>
      <c r="M294" s="54">
        <f ca="1">+IF($E$5=1,M293,0)*$I$294</f>
        <v>48.671667499999984</v>
      </c>
      <c r="N294" s="54">
        <f ca="1">+IF($E$5=1,N293,0)*$I$294</f>
        <v>48.671667499999984</v>
      </c>
      <c r="O294" s="54">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206"/>
      <c r="M299" s="206"/>
      <c r="N299" s="206"/>
      <c r="O299" s="206"/>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54">
        <f>+J139</f>
        <v>0</v>
      </c>
      <c r="L301" s="54">
        <f ca="1">+K139</f>
        <v>5</v>
      </c>
      <c r="M301" s="54">
        <f ca="1">+L139</f>
        <v>5</v>
      </c>
      <c r="N301" s="54">
        <f ca="1">+M139</f>
        <v>5</v>
      </c>
      <c r="O301" s="54">
        <f ca="1">+N139</f>
        <v>5</v>
      </c>
    </row>
    <row r="302" spans="1:15" s="4" customFormat="1" ht="12.95" customHeight="1" x14ac:dyDescent="0.2">
      <c r="B302" s="3" t="s">
        <v>106</v>
      </c>
      <c r="C302" s="3"/>
      <c r="D302" s="3"/>
      <c r="E302" s="3"/>
      <c r="F302" s="3"/>
      <c r="G302" s="3"/>
      <c r="H302" s="3"/>
      <c r="I302" s="3"/>
      <c r="J302" s="3"/>
      <c r="K302" s="66">
        <f ca="1">+K303-K301</f>
        <v>5</v>
      </c>
      <c r="L302" s="66">
        <f ca="1">+L303-L301</f>
        <v>0</v>
      </c>
      <c r="M302" s="66">
        <f ca="1">+M303-M301</f>
        <v>0</v>
      </c>
      <c r="N302" s="66">
        <f ca="1">+N303-N301</f>
        <v>0</v>
      </c>
      <c r="O302" s="66">
        <f ca="1">+O303-O301</f>
        <v>0</v>
      </c>
    </row>
    <row r="303" spans="1:15" s="69" customFormat="1" ht="12.95" customHeight="1" x14ac:dyDescent="0.2">
      <c r="B303" s="69" t="s">
        <v>192</v>
      </c>
      <c r="K303" s="71">
        <f ca="1">+K139</f>
        <v>5</v>
      </c>
      <c r="L303" s="71">
        <f ca="1">+L139</f>
        <v>5</v>
      </c>
      <c r="M303" s="71">
        <f ca="1">+M139</f>
        <v>5</v>
      </c>
      <c r="N303" s="71">
        <f ca="1">+N139</f>
        <v>5</v>
      </c>
      <c r="O303" s="71">
        <f ca="1">+O139</f>
        <v>5</v>
      </c>
    </row>
    <row r="304" spans="1:15" s="4" customFormat="1" ht="12.95" customHeight="1" x14ac:dyDescent="0.2"/>
    <row r="305" spans="1:15" ht="12.95" customHeight="1" x14ac:dyDescent="0.2">
      <c r="B305" s="4" t="s">
        <v>91</v>
      </c>
      <c r="C305" s="4"/>
      <c r="D305" s="4"/>
      <c r="E305" s="4"/>
      <c r="F305" s="4"/>
      <c r="G305" s="4"/>
      <c r="H305" s="4"/>
      <c r="I305" s="4"/>
      <c r="J305" s="4"/>
      <c r="K305" s="35">
        <f ca="1">+AVERAGE(K301,K303)</f>
        <v>2.5</v>
      </c>
      <c r="L305" s="35">
        <f ca="1">+AVERAGE(L301,L303)</f>
        <v>5</v>
      </c>
      <c r="M305" s="35">
        <f ca="1">+AVERAGE(M301,M303)</f>
        <v>5</v>
      </c>
      <c r="N305" s="35">
        <f ca="1">+AVERAGE(N301,N303)</f>
        <v>5</v>
      </c>
      <c r="O305" s="35">
        <f ca="1">+AVERAGE(O301,O303)</f>
        <v>5</v>
      </c>
    </row>
    <row r="306" spans="1:15" ht="12.95" customHeight="1" x14ac:dyDescent="0.2">
      <c r="B306" s="1" t="s">
        <v>107</v>
      </c>
      <c r="G306" s="85" t="s">
        <v>193</v>
      </c>
      <c r="H306" s="4"/>
      <c r="I306" s="225">
        <v>0.01</v>
      </c>
      <c r="K306" s="15">
        <f ca="1">+IF($E$5=1,K305,0)*$I$306</f>
        <v>2.5000000000000001E-2</v>
      </c>
      <c r="L306" s="15">
        <f ca="1">+IF($E$5=1,L305,0)*$I$306</f>
        <v>0.05</v>
      </c>
      <c r="M306" s="15">
        <f ca="1">+IF($E$5=1,M305,0)*$I$306</f>
        <v>0.05</v>
      </c>
      <c r="N306" s="15">
        <f ca="1">+IF($E$5=1,N305,0)*$I$306</f>
        <v>0.05</v>
      </c>
      <c r="O306" s="15">
        <f ca="1">+IF($E$5=1,O305,0)*$I$306</f>
        <v>0.05</v>
      </c>
    </row>
    <row r="307" spans="1:15" s="4" customFormat="1" ht="12.95" customHeight="1" x14ac:dyDescent="0.2">
      <c r="B307" s="3"/>
      <c r="C307" s="3"/>
      <c r="D307" s="3"/>
      <c r="E307" s="3"/>
      <c r="F307" s="3"/>
      <c r="G307" s="3"/>
      <c r="H307" s="3"/>
      <c r="I307" s="3"/>
      <c r="J307" s="3"/>
      <c r="K307" s="3"/>
      <c r="L307" s="3"/>
      <c r="M307" s="3"/>
      <c r="N307" s="3"/>
      <c r="O307" s="3"/>
    </row>
    <row r="309" spans="1:15" ht="12.95" customHeight="1" x14ac:dyDescent="0.2">
      <c r="B309" s="1" t="s">
        <v>197</v>
      </c>
    </row>
    <row r="310" spans="1:15" ht="12.95" customHeight="1" x14ac:dyDescent="0.2">
      <c r="B310" s="1" t="str">
        <f>+B253&amp;" - Commitment Fee"</f>
        <v>Revolving Credit Facility - Commitment Fee</v>
      </c>
      <c r="K310" s="15">
        <f ca="1">+K261</f>
        <v>0.25</v>
      </c>
      <c r="L310" s="15">
        <f ca="1">+L261</f>
        <v>0.25</v>
      </c>
      <c r="M310" s="15">
        <f ca="1">+M261</f>
        <v>0.25</v>
      </c>
      <c r="N310" s="15">
        <f ca="1">+N261</f>
        <v>0.25</v>
      </c>
      <c r="O310" s="15">
        <f ca="1">+O261</f>
        <v>0.25</v>
      </c>
    </row>
    <row r="311" spans="1:15" ht="12.95" customHeight="1" x14ac:dyDescent="0.2">
      <c r="B311" s="1" t="str">
        <f>+B253&amp;" - Drawn Interest Expense"</f>
        <v>Revolving Credit Facility - Drawn Interest Expense</v>
      </c>
      <c r="K311" s="16">
        <f ca="1">+K260</f>
        <v>0</v>
      </c>
      <c r="L311" s="16">
        <f ca="1">+L260</f>
        <v>0</v>
      </c>
      <c r="M311" s="16">
        <f ca="1">+M260</f>
        <v>0</v>
      </c>
      <c r="N311" s="16">
        <f ca="1">+N260</f>
        <v>0</v>
      </c>
      <c r="O311" s="16">
        <f ca="1">+O260</f>
        <v>0</v>
      </c>
    </row>
    <row r="312" spans="1:15" ht="12.95" customHeight="1" x14ac:dyDescent="0.2">
      <c r="B312" s="1" t="str">
        <f>+B266</f>
        <v>First Lien Term Loan</v>
      </c>
      <c r="K312" s="16">
        <f ca="1">+K274</f>
        <v>19.334198412274027</v>
      </c>
      <c r="L312" s="16">
        <f ca="1">+L274</f>
        <v>14.839083941226935</v>
      </c>
      <c r="M312" s="16">
        <f ca="1">+M274</f>
        <v>9.5370863807024016</v>
      </c>
      <c r="N312" s="16">
        <f ca="1">+N274</f>
        <v>3.3244340017494998</v>
      </c>
      <c r="O312" s="16">
        <f ca="1">+O274</f>
        <v>0</v>
      </c>
    </row>
    <row r="313" spans="1:15" ht="12.95" customHeight="1" x14ac:dyDescent="0.2">
      <c r="B313" s="1" t="str">
        <f>+B277</f>
        <v>Second Lien Term Loan</v>
      </c>
      <c r="K313" s="16">
        <f ca="1">+K285</f>
        <v>0</v>
      </c>
      <c r="L313" s="16">
        <f ca="1">+L285</f>
        <v>0</v>
      </c>
      <c r="M313" s="16">
        <f ca="1">+M285</f>
        <v>0</v>
      </c>
      <c r="N313" s="16">
        <f ca="1">+N285</f>
        <v>0</v>
      </c>
      <c r="O313" s="16">
        <f ca="1">+O285</f>
        <v>0</v>
      </c>
    </row>
    <row r="314" spans="1:15" ht="12.95" customHeight="1" x14ac:dyDescent="0.2">
      <c r="B314" s="4" t="str">
        <f>+B288</f>
        <v>Notes</v>
      </c>
      <c r="C314" s="4"/>
      <c r="D314" s="4"/>
      <c r="E314" s="4"/>
      <c r="F314" s="4"/>
      <c r="G314" s="4"/>
      <c r="H314" s="4"/>
      <c r="I314" s="4"/>
      <c r="J314" s="4"/>
      <c r="K314" s="35">
        <f ca="1">+K294</f>
        <v>48.671667499999984</v>
      </c>
      <c r="L314" s="35">
        <f ca="1">+L294</f>
        <v>48.671667499999984</v>
      </c>
      <c r="M314" s="35">
        <f ca="1">+M294</f>
        <v>48.671667499999984</v>
      </c>
      <c r="N314" s="35">
        <f ca="1">+N294</f>
        <v>48.671667499999984</v>
      </c>
      <c r="O314" s="35">
        <f ca="1">+O294</f>
        <v>48.671667499999984</v>
      </c>
    </row>
    <row r="315" spans="1:15" ht="12.95" customHeight="1" x14ac:dyDescent="0.2">
      <c r="B315" s="226" t="s">
        <v>112</v>
      </c>
      <c r="C315" s="226"/>
      <c r="D315" s="226"/>
      <c r="E315" s="226"/>
      <c r="F315" s="226"/>
      <c r="G315" s="226"/>
      <c r="H315" s="226"/>
      <c r="I315" s="226"/>
      <c r="J315" s="226"/>
      <c r="K315" s="37">
        <f ca="1">SUM(K310:K314)</f>
        <v>68.255865912274004</v>
      </c>
      <c r="L315" s="37">
        <f ca="1">SUM(L310:L314)</f>
        <v>63.760751441226915</v>
      </c>
      <c r="M315" s="37">
        <f ca="1">SUM(M310:M314)</f>
        <v>58.458753880702389</v>
      </c>
      <c r="N315" s="37">
        <f ca="1">SUM(N310:N314)</f>
        <v>52.246101501749486</v>
      </c>
      <c r="O315" s="37">
        <f ca="1">SUM(O310:O314)</f>
        <v>48.921667499999984</v>
      </c>
    </row>
    <row r="316" spans="1:15" ht="12.95" customHeight="1" x14ac:dyDescent="0.2">
      <c r="B316" s="3" t="s">
        <v>113</v>
      </c>
      <c r="C316" s="3"/>
      <c r="D316" s="3"/>
      <c r="E316" s="3"/>
      <c r="F316" s="3"/>
      <c r="G316" s="3"/>
      <c r="H316" s="3"/>
      <c r="I316" s="3"/>
      <c r="J316" s="3"/>
      <c r="K316" s="62">
        <f ca="1">+K279</f>
        <v>16.223889166666662</v>
      </c>
      <c r="L316" s="62">
        <f t="shared" ref="L316:O316" ca="1" si="52">+L279</f>
        <v>17.575879930555548</v>
      </c>
      <c r="M316" s="62">
        <f t="shared" ca="1" si="52"/>
        <v>19.040536591435178</v>
      </c>
      <c r="N316" s="62">
        <f t="shared" ca="1" si="52"/>
        <v>20.49229246261693</v>
      </c>
      <c r="O316" s="62">
        <f t="shared" ca="1" si="52"/>
        <v>16.195162976154954</v>
      </c>
    </row>
    <row r="317" spans="1:15" s="76" customFormat="1" ht="12.95" customHeight="1" x14ac:dyDescent="0.2">
      <c r="B317" s="69" t="s">
        <v>108</v>
      </c>
      <c r="C317" s="69"/>
      <c r="D317" s="69"/>
      <c r="E317" s="69"/>
      <c r="F317" s="69"/>
      <c r="G317" s="69"/>
      <c r="H317" s="69"/>
      <c r="I317" s="69"/>
      <c r="J317" s="69"/>
      <c r="K317" s="96">
        <f ca="1">+SUM(K315:K316)</f>
        <v>84.47975507894067</v>
      </c>
      <c r="L317" s="96">
        <f ca="1">+SUM(L315:L316)</f>
        <v>81.33663137178246</v>
      </c>
      <c r="M317" s="96">
        <f ca="1">+SUM(M315:M316)</f>
        <v>77.499290472137574</v>
      </c>
      <c r="N317" s="96">
        <f ca="1">+SUM(N315:N316)</f>
        <v>72.738393964366423</v>
      </c>
      <c r="O317" s="96">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5" ht="12.95" customHeight="1" x14ac:dyDescent="0.35">
      <c r="K321" s="10" t="str">
        <f>+$K$32</f>
        <v>Fiscal Year Ended 12/31</v>
      </c>
      <c r="L321" s="11"/>
      <c r="M321" s="11"/>
      <c r="N321" s="11"/>
      <c r="O321" s="11"/>
    </row>
    <row r="322" spans="2:15" ht="12.95" customHeight="1" x14ac:dyDescent="0.2">
      <c r="K322" s="13">
        <f>+K138</f>
        <v>2020</v>
      </c>
      <c r="L322" s="13">
        <f>+K322+1</f>
        <v>2021</v>
      </c>
      <c r="M322" s="13">
        <f>+L322+1</f>
        <v>2022</v>
      </c>
      <c r="N322" s="13">
        <f>+M322+1</f>
        <v>2023</v>
      </c>
      <c r="O322" s="13">
        <f>+N322+1</f>
        <v>2024</v>
      </c>
    </row>
    <row r="323" spans="2:15" ht="12.95" customHeight="1" x14ac:dyDescent="0.2">
      <c r="B323" s="1" t="s">
        <v>35</v>
      </c>
      <c r="K323" s="54">
        <f>+K120</f>
        <v>211.13616104999991</v>
      </c>
      <c r="L323" s="54">
        <f t="shared" ref="L323:O323" si="53">+L120</f>
        <v>231.22441616399993</v>
      </c>
      <c r="M323" s="54">
        <f t="shared" si="53"/>
        <v>253.09045980481494</v>
      </c>
      <c r="N323" s="54">
        <f t="shared" si="53"/>
        <v>276.88474991614049</v>
      </c>
      <c r="O323" s="54">
        <f t="shared" si="53"/>
        <v>302.770097390008</v>
      </c>
    </row>
    <row r="324" spans="2:15" ht="12.95" customHeight="1" x14ac:dyDescent="0.2">
      <c r="B324" s="4" t="s">
        <v>200</v>
      </c>
      <c r="C324" s="4"/>
      <c r="D324" s="4"/>
      <c r="E324" s="4"/>
      <c r="F324" s="4"/>
      <c r="G324" s="4"/>
      <c r="H324" s="4"/>
      <c r="I324" s="4"/>
      <c r="J324" s="4"/>
      <c r="K324" s="253">
        <f>+$M$19</f>
        <v>10</v>
      </c>
      <c r="L324" s="253">
        <f>+$M$19</f>
        <v>10</v>
      </c>
      <c r="M324" s="253">
        <f>+$M$19</f>
        <v>10</v>
      </c>
      <c r="N324" s="253">
        <f>+$M$19</f>
        <v>10</v>
      </c>
      <c r="O324" s="253">
        <f>+$M$19</f>
        <v>10</v>
      </c>
    </row>
    <row r="325" spans="2:15" ht="12.95" customHeight="1" x14ac:dyDescent="0.2">
      <c r="B325" s="226" t="s">
        <v>201</v>
      </c>
      <c r="C325" s="226"/>
      <c r="D325" s="226"/>
      <c r="E325" s="226"/>
      <c r="F325" s="226"/>
      <c r="G325" s="226"/>
      <c r="H325" s="226"/>
      <c r="I325" s="226"/>
      <c r="J325" s="226"/>
      <c r="K325" s="37">
        <f>+K323*K324</f>
        <v>2111.3616104999992</v>
      </c>
      <c r="L325" s="37">
        <f t="shared" ref="L325:O325" si="54">+L323*L324</f>
        <v>2312.2441616399992</v>
      </c>
      <c r="M325" s="37">
        <f t="shared" si="54"/>
        <v>2530.9045980481496</v>
      </c>
      <c r="N325" s="37">
        <f t="shared" si="54"/>
        <v>2768.8474991614048</v>
      </c>
      <c r="O325" s="37">
        <f t="shared" si="54"/>
        <v>3027.70097390008</v>
      </c>
    </row>
    <row r="326" spans="2:15" ht="12.95" customHeight="1" x14ac:dyDescent="0.2">
      <c r="B326" s="1" t="s">
        <v>202</v>
      </c>
      <c r="K326" s="16">
        <f ca="1">-K163</f>
        <v>-1011.3156546129949</v>
      </c>
      <c r="L326" s="16">
        <f t="shared" ref="L326:O326" ca="1" si="55">-L163</f>
        <v>-941.1177460591457</v>
      </c>
      <c r="M326" s="16">
        <f t="shared" ca="1" si="55"/>
        <v>-855.13215984318435</v>
      </c>
      <c r="N326" s="16">
        <f t="shared" ca="1" si="55"/>
        <v>-751.49701087676567</v>
      </c>
      <c r="O326" s="16">
        <f t="shared" ca="1" si="55"/>
        <v>-626.81541352710769</v>
      </c>
    </row>
    <row r="327" spans="2:15" ht="12.95" customHeight="1" x14ac:dyDescent="0.2">
      <c r="B327" s="4" t="s">
        <v>203</v>
      </c>
      <c r="C327" s="4"/>
      <c r="D327" s="4"/>
      <c r="E327" s="4"/>
      <c r="F327" s="4"/>
      <c r="G327" s="4"/>
      <c r="H327" s="4"/>
      <c r="I327" s="4"/>
      <c r="J327" s="4"/>
      <c r="K327" s="35">
        <f ca="1">+K139</f>
        <v>5</v>
      </c>
      <c r="L327" s="35">
        <f t="shared" ref="L327:O327" ca="1" si="56">+L139</f>
        <v>5</v>
      </c>
      <c r="M327" s="35">
        <f t="shared" ca="1" si="56"/>
        <v>5</v>
      </c>
      <c r="N327" s="35">
        <f t="shared" ca="1" si="56"/>
        <v>5</v>
      </c>
      <c r="O327" s="35">
        <f t="shared" ca="1" si="56"/>
        <v>5</v>
      </c>
    </row>
    <row r="328" spans="2:15" ht="12.95" customHeight="1" x14ac:dyDescent="0.2">
      <c r="B328" s="226" t="s">
        <v>204</v>
      </c>
      <c r="C328" s="226"/>
      <c r="D328" s="226"/>
      <c r="E328" s="226"/>
      <c r="F328" s="226"/>
      <c r="G328" s="226"/>
      <c r="H328" s="226"/>
      <c r="I328" s="226"/>
      <c r="J328" s="226"/>
      <c r="K328" s="37">
        <f ca="1">+SUM(K325:K327)</f>
        <v>1105.0459558870043</v>
      </c>
      <c r="L328" s="37">
        <f t="shared" ref="L328:O328" ca="1" si="57">+SUM(L325:L327)</f>
        <v>1376.1264155808535</v>
      </c>
      <c r="M328" s="37">
        <f t="shared" ca="1" si="57"/>
        <v>1680.7724382049653</v>
      </c>
      <c r="N328" s="37">
        <f t="shared" ca="1" si="57"/>
        <v>2022.3504882846391</v>
      </c>
      <c r="O328" s="37">
        <f t="shared" ca="1" si="57"/>
        <v>2405.8855603729726</v>
      </c>
    </row>
    <row r="329" spans="2:15" ht="12.95" customHeight="1" x14ac:dyDescent="0.2">
      <c r="B329" s="3" t="s">
        <v>336</v>
      </c>
      <c r="C329" s="3"/>
      <c r="D329" s="3"/>
      <c r="E329" s="3"/>
      <c r="F329" s="3"/>
      <c r="G329" s="3"/>
      <c r="H329" s="3"/>
      <c r="I329" s="3"/>
      <c r="J329" s="3"/>
      <c r="K329" s="66">
        <f>-$F$52</f>
        <v>-977.38021669999966</v>
      </c>
      <c r="L329" s="66">
        <f>-$F$52</f>
        <v>-977.38021669999966</v>
      </c>
      <c r="M329" s="66">
        <f>-$F$52</f>
        <v>-977.38021669999966</v>
      </c>
      <c r="N329" s="66">
        <f>-$F$52</f>
        <v>-977.38021669999966</v>
      </c>
      <c r="O329" s="66">
        <f>-$F$52</f>
        <v>-977.38021669999966</v>
      </c>
    </row>
    <row r="330" spans="2:15" ht="12.95" customHeight="1" x14ac:dyDescent="0.2">
      <c r="B330" s="69" t="s">
        <v>207</v>
      </c>
      <c r="C330" s="69"/>
      <c r="D330" s="69"/>
      <c r="E330" s="69"/>
      <c r="F330" s="69"/>
      <c r="G330" s="69"/>
      <c r="H330" s="69"/>
      <c r="I330" s="69"/>
      <c r="J330" s="69"/>
      <c r="K330" s="71">
        <f ca="1">+MAX(SUM(K328:K329),0)</f>
        <v>127.66573918700465</v>
      </c>
      <c r="L330" s="71">
        <f t="shared" ref="L330:O330" ca="1" si="58">+MAX(SUM(L328:L329),0)</f>
        <v>398.74619888085385</v>
      </c>
      <c r="M330" s="71">
        <f t="shared" ca="1" si="58"/>
        <v>703.39222150496562</v>
      </c>
      <c r="N330" s="71">
        <f t="shared" ca="1" si="58"/>
        <v>1044.9702715846395</v>
      </c>
      <c r="O330" s="71">
        <f t="shared" ca="1" si="58"/>
        <v>1428.5053436729729</v>
      </c>
    </row>
    <row r="332" spans="2:15" ht="12.95" customHeight="1" x14ac:dyDescent="0.2">
      <c r="F332" s="1" t="s">
        <v>205</v>
      </c>
      <c r="J332" s="250">
        <f>+M28</f>
        <v>0.1</v>
      </c>
      <c r="K332" s="15">
        <f ca="1">+K330*$J$332</f>
        <v>12.766573918700466</v>
      </c>
      <c r="L332" s="15">
        <f t="shared" ref="L332:O332" ca="1" si="59">+L330*$J$332</f>
        <v>39.874619888085391</v>
      </c>
      <c r="M332" s="15">
        <f t="shared" ca="1" si="59"/>
        <v>70.339222150496568</v>
      </c>
      <c r="N332" s="15">
        <f t="shared" ca="1" si="59"/>
        <v>104.49702715846395</v>
      </c>
      <c r="O332" s="15">
        <f t="shared" ca="1" si="59"/>
        <v>142.85053436729729</v>
      </c>
    </row>
    <row r="334" spans="2:15" ht="12.95" customHeight="1" x14ac:dyDescent="0.2">
      <c r="F334" s="1" t="s">
        <v>208</v>
      </c>
      <c r="K334" s="254">
        <f ca="1">+K328-K332</f>
        <v>1092.2793819683038</v>
      </c>
      <c r="L334" s="254">
        <f t="shared" ref="L334:O334" ca="1" si="60">+L328-L332</f>
        <v>1336.2517956927682</v>
      </c>
      <c r="M334" s="254">
        <f t="shared" ca="1" si="60"/>
        <v>1610.4332160544686</v>
      </c>
      <c r="N334" s="254">
        <f t="shared" ca="1" si="60"/>
        <v>1917.8534611261753</v>
      </c>
      <c r="O334" s="254">
        <f t="shared" ca="1" si="60"/>
        <v>2263.0350260056753</v>
      </c>
    </row>
    <row r="335" spans="2:15" customFormat="1" ht="3" customHeight="1" x14ac:dyDescent="0.25"/>
    <row r="336" spans="2:15"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f ca="1">+IRR(J338:O338)</f>
        <v>0.11755830873705064</v>
      </c>
      <c r="H338" s="259">
        <f ca="1">+SUM(K338:O338)/-J338</f>
        <v>1.1175583087370509</v>
      </c>
      <c r="J338" s="255">
        <f>-$F$52</f>
        <v>-977.38021669999966</v>
      </c>
      <c r="K338" s="256">
        <f t="shared" ref="K338:O342" ca="1" si="61">+IF(K$322=$F338,K$334,0)</f>
        <v>1092.2793819683038</v>
      </c>
      <c r="L338" s="256">
        <f t="shared" si="61"/>
        <v>0</v>
      </c>
      <c r="M338" s="256">
        <f t="shared" si="61"/>
        <v>0</v>
      </c>
      <c r="N338" s="256">
        <f t="shared" si="61"/>
        <v>0</v>
      </c>
      <c r="O338" s="257">
        <f t="shared" si="61"/>
        <v>0</v>
      </c>
    </row>
    <row r="339" spans="6:15" ht="12.95" customHeight="1" x14ac:dyDescent="0.2">
      <c r="F339" s="252">
        <v>2021</v>
      </c>
      <c r="G339" s="258">
        <f ca="1">+IRR(J339:O339)</f>
        <v>0.16926346225305466</v>
      </c>
      <c r="H339" s="259">
        <f ca="1">+SUM(K339:O339)/-J339</f>
        <v>1.3671770441645041</v>
      </c>
      <c r="J339" s="104">
        <f>-$F$52</f>
        <v>-977.38021669999966</v>
      </c>
      <c r="K339" s="16">
        <f t="shared" si="61"/>
        <v>0</v>
      </c>
      <c r="L339" s="16">
        <f t="shared" ca="1" si="61"/>
        <v>1336.2517956927682</v>
      </c>
      <c r="M339" s="16">
        <f t="shared" si="61"/>
        <v>0</v>
      </c>
      <c r="N339" s="16">
        <f t="shared" si="61"/>
        <v>0</v>
      </c>
      <c r="O339" s="236">
        <f t="shared" si="61"/>
        <v>0</v>
      </c>
    </row>
    <row r="340" spans="6:15" ht="12.95" customHeight="1" x14ac:dyDescent="0.2">
      <c r="F340" s="252">
        <v>2022</v>
      </c>
      <c r="G340" s="258">
        <f ca="1">+IRR(J340:O340)</f>
        <v>0.18111737540040695</v>
      </c>
      <c r="H340" s="259">
        <f ca="1">+SUM(K340:O340)/-J340</f>
        <v>1.6477039217060194</v>
      </c>
      <c r="J340" s="104">
        <f>-$F$52</f>
        <v>-977.38021669999966</v>
      </c>
      <c r="K340" s="16">
        <f t="shared" si="61"/>
        <v>0</v>
      </c>
      <c r="L340" s="16">
        <f t="shared" si="61"/>
        <v>0</v>
      </c>
      <c r="M340" s="16">
        <f t="shared" ca="1" si="61"/>
        <v>1610.4332160544686</v>
      </c>
      <c r="N340" s="16">
        <f t="shared" si="61"/>
        <v>0</v>
      </c>
      <c r="O340" s="236">
        <f t="shared" si="61"/>
        <v>0</v>
      </c>
    </row>
    <row r="341" spans="6:15" ht="12.95" customHeight="1" x14ac:dyDescent="0.2">
      <c r="F341" s="252">
        <v>2023</v>
      </c>
      <c r="G341" s="258">
        <f ca="1">+IRR(J341:O341)</f>
        <v>0.18355370455189535</v>
      </c>
      <c r="H341" s="259">
        <f ca="1">+SUM(K341:O341)/-J341</f>
        <v>1.9622388793601371</v>
      </c>
      <c r="J341" s="104">
        <f>-$F$52</f>
        <v>-977.38021669999966</v>
      </c>
      <c r="K341" s="16">
        <f t="shared" si="61"/>
        <v>0</v>
      </c>
      <c r="L341" s="16">
        <f t="shared" si="61"/>
        <v>0</v>
      </c>
      <c r="M341" s="16">
        <f t="shared" si="61"/>
        <v>0</v>
      </c>
      <c r="N341" s="16">
        <f t="shared" ca="1" si="61"/>
        <v>1917.8534611261753</v>
      </c>
      <c r="O341" s="236">
        <f t="shared" si="61"/>
        <v>0</v>
      </c>
    </row>
    <row r="342" spans="6:15" ht="12.95" customHeight="1" x14ac:dyDescent="0.2">
      <c r="F342" s="252">
        <v>2024</v>
      </c>
      <c r="G342" s="258">
        <f ca="1">+IRR(J342:O342)</f>
        <v>0.18283875727886101</v>
      </c>
      <c r="H342" s="259">
        <f ca="1">+SUM(K342:O342)/-J342</f>
        <v>2.315409077591652</v>
      </c>
      <c r="J342" s="105">
        <f>-$F$52</f>
        <v>-977.38021669999966</v>
      </c>
      <c r="K342" s="66">
        <f t="shared" si="61"/>
        <v>0</v>
      </c>
      <c r="L342" s="66">
        <f t="shared" si="61"/>
        <v>0</v>
      </c>
      <c r="M342" s="66">
        <f t="shared" si="61"/>
        <v>0</v>
      </c>
      <c r="N342" s="66">
        <f t="shared" si="61"/>
        <v>0</v>
      </c>
      <c r="O342" s="237">
        <f t="shared" ca="1" si="61"/>
        <v>2263.0350260056753</v>
      </c>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AAF03-D433-480E-803A-60F9067E2EF4}">
  <dimension ref="A2:X342"/>
  <sheetViews>
    <sheetView showGridLines="0" zoomScaleNormal="100" zoomScaleSheetLayoutView="85" workbookViewId="0"/>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f ca="1">+SUM(E168:O168)</f>
        <v>0</v>
      </c>
      <c r="I10" s="1" t="s">
        <v>184</v>
      </c>
      <c r="K10" s="15">
        <f ca="1">+(K88-K79)-(J88-J79)</f>
        <v>-64.461030387004712</v>
      </c>
      <c r="L10" s="15">
        <f t="shared" ref="L10:O10" ca="1" si="0">+(L88-L79)-(K88-K79)</f>
        <v>-70.197908553849174</v>
      </c>
      <c r="M10" s="15">
        <f t="shared" ca="1" si="0"/>
        <v>-85.985586215961348</v>
      </c>
      <c r="N10" s="15">
        <f t="shared" ca="1" si="0"/>
        <v>-103.63514896641868</v>
      </c>
      <c r="O10" s="15">
        <f t="shared" ca="1" si="0"/>
        <v>-124.68159734965798</v>
      </c>
    </row>
    <row r="11" spans="1:15" ht="12.95" customHeight="1" x14ac:dyDescent="0.2">
      <c r="B11" s="1" t="s">
        <v>188</v>
      </c>
      <c r="E11" s="14">
        <f ca="1">+SUM(K264:O264)</f>
        <v>0</v>
      </c>
      <c r="I11" s="1" t="s">
        <v>109</v>
      </c>
      <c r="K11" s="16">
        <f ca="1">-K316</f>
        <v>-16.223889166666662</v>
      </c>
      <c r="L11" s="16">
        <f t="shared" ref="L11:O11" ca="1" si="1">-L316</f>
        <v>-17.575879930555548</v>
      </c>
      <c r="M11" s="16">
        <f t="shared" ca="1" si="1"/>
        <v>-19.040536591435178</v>
      </c>
      <c r="N11" s="16">
        <f t="shared" ca="1" si="1"/>
        <v>-20.49229246261693</v>
      </c>
      <c r="O11" s="16">
        <f t="shared" ca="1" si="1"/>
        <v>-16.195162976154954</v>
      </c>
    </row>
    <row r="12" spans="1:15" ht="12.95" customHeight="1" x14ac:dyDescent="0.2">
      <c r="B12" s="1" t="s">
        <v>189</v>
      </c>
      <c r="E12" s="16">
        <f ca="1">+SUM(K13:O13)</f>
        <v>0</v>
      </c>
      <c r="I12" s="1" t="s">
        <v>185</v>
      </c>
      <c r="K12" s="16">
        <f ca="1">+K75</f>
        <v>80.684919553671506</v>
      </c>
      <c r="L12" s="16">
        <f t="shared" ref="L12:O12" ca="1" si="2">+L75</f>
        <v>87.77378848440469</v>
      </c>
      <c r="M12" s="16">
        <f t="shared" ca="1" si="2"/>
        <v>105.02612280739638</v>
      </c>
      <c r="N12" s="16">
        <f t="shared" ca="1" si="2"/>
        <v>124.12744142903557</v>
      </c>
      <c r="O12" s="16">
        <f t="shared" ca="1" si="2"/>
        <v>140.87676032581294</v>
      </c>
    </row>
    <row r="13" spans="1:15" ht="12.95" customHeight="1" x14ac:dyDescent="0.2">
      <c r="B13" s="17" t="s">
        <v>190</v>
      </c>
      <c r="C13" s="18"/>
      <c r="D13" s="18"/>
      <c r="E13" s="19">
        <f ca="1">SUM(E10:E12)</f>
        <v>0</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8"/>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4">+MAX(J34-$I34,0)</f>
        <v>1.6</v>
      </c>
      <c r="L34" s="247">
        <f t="shared" si="4"/>
        <v>1.2000000000000002</v>
      </c>
      <c r="M34" s="247">
        <f t="shared" si="4"/>
        <v>0.80000000000000016</v>
      </c>
      <c r="N34" s="247">
        <f t="shared" si="4"/>
        <v>0.40000000000000013</v>
      </c>
      <c r="O34" s="247">
        <f t="shared" si="4"/>
        <v>1.1102230246251565E-16</v>
      </c>
    </row>
    <row r="35" spans="1:15" ht="12.95" customHeight="1" x14ac:dyDescent="0.2">
      <c r="F35" s="1" t="str">
        <f>+B49</f>
        <v>First Lien Term Loan</v>
      </c>
      <c r="H35" s="34">
        <v>5</v>
      </c>
      <c r="I35" s="248">
        <f>+J35/H35</f>
        <v>1.5574933599999996</v>
      </c>
      <c r="J35" s="249">
        <f>+$M$22*F49</f>
        <v>7.787466799999998</v>
      </c>
      <c r="K35" s="249">
        <f t="shared" si="4"/>
        <v>6.2299734399999984</v>
      </c>
      <c r="L35" s="249">
        <f t="shared" si="4"/>
        <v>4.6724800799999988</v>
      </c>
      <c r="M35" s="249">
        <f t="shared" si="4"/>
        <v>3.1149867199999992</v>
      </c>
      <c r="N35" s="249">
        <f t="shared" si="4"/>
        <v>1.5574933599999996</v>
      </c>
      <c r="O35" s="249">
        <f t="shared" si="4"/>
        <v>0</v>
      </c>
    </row>
    <row r="36" spans="1:15" ht="12.95" customHeight="1" x14ac:dyDescent="0.2">
      <c r="F36" s="1" t="str">
        <f>+B50</f>
        <v>Second Lien Term Loan</v>
      </c>
      <c r="G36" s="25"/>
      <c r="H36" s="34">
        <v>7</v>
      </c>
      <c r="I36" s="248">
        <f>+J36/H36</f>
        <v>0.5562476285714284</v>
      </c>
      <c r="J36" s="249">
        <f>+$M$22*F50</f>
        <v>3.893733399999999</v>
      </c>
      <c r="K36" s="249">
        <f t="shared" si="4"/>
        <v>3.3374857714285708</v>
      </c>
      <c r="L36" s="249">
        <f t="shared" si="4"/>
        <v>2.7812381428571422</v>
      </c>
      <c r="M36" s="249">
        <f t="shared" si="4"/>
        <v>2.2249905142857136</v>
      </c>
      <c r="N36" s="249">
        <f t="shared" si="4"/>
        <v>1.6687428857142852</v>
      </c>
      <c r="O36" s="249">
        <f t="shared" si="4"/>
        <v>1.1124952571428568</v>
      </c>
    </row>
    <row r="37" spans="1:15" ht="12.95" customHeight="1" x14ac:dyDescent="0.2">
      <c r="F37" s="1" t="str">
        <f>+B51</f>
        <v>Notes</v>
      </c>
      <c r="G37" s="25"/>
      <c r="H37" s="34">
        <v>10</v>
      </c>
      <c r="I37" s="248">
        <f>+J37/H37</f>
        <v>0.97343334999999964</v>
      </c>
      <c r="J37" s="249">
        <f>+$M$22*F51</f>
        <v>9.7343334999999964</v>
      </c>
      <c r="K37" s="249">
        <f t="shared" si="4"/>
        <v>8.7609001499999977</v>
      </c>
      <c r="L37" s="249">
        <f t="shared" si="4"/>
        <v>7.787466799999998</v>
      </c>
      <c r="M37" s="249">
        <f t="shared" si="4"/>
        <v>6.8140334499999984</v>
      </c>
      <c r="N37" s="249">
        <f t="shared" si="4"/>
        <v>5.8406000999999987</v>
      </c>
      <c r="O37" s="249">
        <f t="shared" si="4"/>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5">SUM(J34:J38)</f>
        <v>23.41553369999999</v>
      </c>
      <c r="K39" s="22">
        <f t="shared" si="5"/>
        <v>19.928359361428566</v>
      </c>
      <c r="L39" s="22">
        <f t="shared" si="5"/>
        <v>16.441185022857137</v>
      </c>
      <c r="M39" s="22">
        <f t="shared" si="5"/>
        <v>12.954010684285711</v>
      </c>
      <c r="N39" s="22">
        <f t="shared" si="5"/>
        <v>9.4668363457142846</v>
      </c>
      <c r="O39" s="23">
        <f t="shared" si="5"/>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141">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f>+H104</f>
        <v>900</v>
      </c>
      <c r="I59" s="71">
        <f t="shared" ref="I59:O59" si="6">+I104</f>
        <v>963</v>
      </c>
      <c r="J59" s="271">
        <f t="shared" si="6"/>
        <v>1030.4100000000001</v>
      </c>
      <c r="K59" s="71">
        <f t="shared" si="6"/>
        <v>1102.5387000000001</v>
      </c>
      <c r="L59" s="71">
        <f t="shared" si="6"/>
        <v>1179.7164090000001</v>
      </c>
      <c r="M59" s="71">
        <f t="shared" si="6"/>
        <v>1262.2965576300003</v>
      </c>
      <c r="N59" s="71">
        <f t="shared" si="6"/>
        <v>1350.6573166641003</v>
      </c>
      <c r="O59" s="71">
        <f t="shared" si="6"/>
        <v>1445.2033288305875</v>
      </c>
    </row>
    <row r="60" spans="1:15" s="78" customFormat="1" ht="12.95" customHeight="1" x14ac:dyDescent="0.2">
      <c r="B60" s="268" t="s">
        <v>294</v>
      </c>
      <c r="I60" s="79">
        <f>+I59/H59-1</f>
        <v>7.0000000000000062E-2</v>
      </c>
      <c r="J60" s="272">
        <f t="shared" ref="J60:O60" si="7">+J59/I59-1</f>
        <v>7.0000000000000062E-2</v>
      </c>
      <c r="K60" s="269">
        <f t="shared" si="7"/>
        <v>7.0000000000000062E-2</v>
      </c>
      <c r="L60" s="79">
        <f t="shared" si="7"/>
        <v>7.0000000000000062E-2</v>
      </c>
      <c r="M60" s="79">
        <f t="shared" si="7"/>
        <v>7.0000000000000062E-2</v>
      </c>
      <c r="N60" s="79">
        <f t="shared" si="7"/>
        <v>7.0000000000000062E-2</v>
      </c>
      <c r="O60" s="79">
        <f t="shared" si="7"/>
        <v>7.0000000000000062E-2</v>
      </c>
    </row>
    <row r="61" spans="1:15" ht="12.95" customHeight="1" x14ac:dyDescent="0.2">
      <c r="B61" s="76" t="s">
        <v>160</v>
      </c>
      <c r="C61" s="76"/>
      <c r="D61" s="76"/>
      <c r="E61" s="76"/>
      <c r="F61" s="76"/>
      <c r="G61" s="76"/>
      <c r="H61" s="31">
        <f>+H120</f>
        <v>173.49999999999997</v>
      </c>
      <c r="I61" s="31">
        <f t="shared" ref="I61:O61" si="8">+I120</f>
        <v>184.11799999999999</v>
      </c>
      <c r="J61" s="271">
        <f t="shared" si="8"/>
        <v>194.68666999999994</v>
      </c>
      <c r="K61" s="71">
        <f t="shared" si="8"/>
        <v>211.13616104999991</v>
      </c>
      <c r="L61" s="31">
        <f t="shared" si="8"/>
        <v>231.22441616399993</v>
      </c>
      <c r="M61" s="31">
        <f t="shared" si="8"/>
        <v>253.09045980481494</v>
      </c>
      <c r="N61" s="31">
        <f t="shared" si="8"/>
        <v>276.88474991614049</v>
      </c>
      <c r="O61" s="31">
        <f t="shared" si="8"/>
        <v>302.770097390008</v>
      </c>
    </row>
    <row r="62" spans="1:15" s="78" customFormat="1" ht="12.95" customHeight="1" x14ac:dyDescent="0.2">
      <c r="B62" s="268" t="s">
        <v>295</v>
      </c>
      <c r="H62" s="79">
        <f>+H61/H59</f>
        <v>0.19277777777777774</v>
      </c>
      <c r="I62" s="79">
        <f t="shared" ref="I62:O62" si="9">+I61/I59</f>
        <v>0.19119210799584632</v>
      </c>
      <c r="J62" s="272">
        <f t="shared" si="9"/>
        <v>0.18894097495171816</v>
      </c>
      <c r="K62" s="269">
        <f t="shared" si="9"/>
        <v>0.19149999999999992</v>
      </c>
      <c r="L62" s="79">
        <f t="shared" si="9"/>
        <v>0.19599999999999992</v>
      </c>
      <c r="M62" s="79">
        <f t="shared" si="9"/>
        <v>0.2004999999999999</v>
      </c>
      <c r="N62" s="79">
        <f t="shared" si="9"/>
        <v>0.20499999999999993</v>
      </c>
      <c r="O62" s="79">
        <f t="shared" si="9"/>
        <v>0.20949999999999996</v>
      </c>
    </row>
    <row r="63" spans="1:15" ht="12.95" customHeight="1" x14ac:dyDescent="0.2">
      <c r="J63" s="131"/>
      <c r="K63" s="4"/>
    </row>
    <row r="64" spans="1:15" ht="12.95" customHeight="1" x14ac:dyDescent="0.2">
      <c r="B64" s="1" t="s">
        <v>162</v>
      </c>
      <c r="J64" s="131"/>
      <c r="K64" s="54">
        <f ca="1">+K315-K306</f>
        <v>68.230865912273998</v>
      </c>
      <c r="L64" s="15">
        <f t="shared" ref="L64:O64" ca="1" si="10">+L315-L306</f>
        <v>63.710751441226918</v>
      </c>
      <c r="M64" s="15">
        <f t="shared" ca="1" si="10"/>
        <v>58.408753880702392</v>
      </c>
      <c r="N64" s="15">
        <f t="shared" ca="1" si="10"/>
        <v>52.196101501749489</v>
      </c>
      <c r="O64" s="15">
        <f t="shared" ca="1" si="10"/>
        <v>48.871667499999987</v>
      </c>
    </row>
    <row r="65" spans="2:15" ht="12.95" customHeight="1" x14ac:dyDescent="0.2">
      <c r="B65" s="1" t="s">
        <v>71</v>
      </c>
      <c r="J65" s="131"/>
      <c r="K65" s="54">
        <f>+K123</f>
        <v>45.755356050000003</v>
      </c>
      <c r="L65" s="15">
        <f t="shared" ref="L65:O65" si="11">+L123</f>
        <v>49.548089178000005</v>
      </c>
      <c r="M65" s="15">
        <f t="shared" si="11"/>
        <v>53.647603699275017</v>
      </c>
      <c r="N65" s="15">
        <f t="shared" si="11"/>
        <v>58.078264616556318</v>
      </c>
      <c r="O65" s="15">
        <f t="shared" si="11"/>
        <v>62.866344804130563</v>
      </c>
    </row>
    <row r="66" spans="2:15" s="78" customFormat="1" ht="12.95" customHeight="1" x14ac:dyDescent="0.2">
      <c r="B66" s="268" t="s">
        <v>293</v>
      </c>
      <c r="J66" s="273"/>
      <c r="K66" s="269">
        <f>+K65/K59</f>
        <v>4.1500000000000002E-2</v>
      </c>
      <c r="L66" s="79">
        <f t="shared" ref="L66:O66" si="12">+L65/L59</f>
        <v>4.2000000000000003E-2</v>
      </c>
      <c r="M66" s="79">
        <f t="shared" si="12"/>
        <v>4.2500000000000003E-2</v>
      </c>
      <c r="N66" s="79">
        <f t="shared" si="12"/>
        <v>4.3000000000000003E-2</v>
      </c>
      <c r="O66" s="79">
        <f t="shared" si="12"/>
        <v>4.3500000000000004E-2</v>
      </c>
    </row>
    <row r="67" spans="2:15" ht="3" customHeight="1" x14ac:dyDescent="0.2">
      <c r="J67" s="131"/>
      <c r="K67" s="4"/>
    </row>
    <row r="68" spans="2:15" ht="12.95" customHeight="1" x14ac:dyDescent="0.35">
      <c r="J68" s="274"/>
      <c r="K68" s="10" t="str">
        <f>+$K$32</f>
        <v>Fiscal Year Ended 12/31</v>
      </c>
      <c r="L68" s="85"/>
      <c r="M68" s="85"/>
      <c r="N68" s="85"/>
      <c r="O68" s="85"/>
    </row>
    <row r="69" spans="2:15" ht="12.95" customHeight="1" x14ac:dyDescent="0.2">
      <c r="B69" s="24" t="s">
        <v>180</v>
      </c>
      <c r="J69" s="275"/>
      <c r="K69" s="118">
        <f>+$K$103</f>
        <v>2020</v>
      </c>
      <c r="L69" s="13">
        <f>+$L$103</f>
        <v>2021</v>
      </c>
      <c r="M69" s="13">
        <f>+$M$103</f>
        <v>2022</v>
      </c>
      <c r="N69" s="13">
        <f>+$N$103</f>
        <v>2023</v>
      </c>
      <c r="O69" s="13">
        <f>+$O$103</f>
        <v>2024</v>
      </c>
    </row>
    <row r="70" spans="2:15" ht="12.95" customHeight="1" x14ac:dyDescent="0.2">
      <c r="B70" s="1" t="s">
        <v>35</v>
      </c>
      <c r="J70" s="276"/>
      <c r="K70" s="221">
        <f>+K118</f>
        <v>211.13616104999991</v>
      </c>
      <c r="L70" s="221">
        <f t="shared" ref="L70:O70" si="13">+L118</f>
        <v>231.22441616399993</v>
      </c>
      <c r="M70" s="221">
        <f t="shared" si="13"/>
        <v>253.09045980481494</v>
      </c>
      <c r="N70" s="221">
        <f t="shared" si="13"/>
        <v>276.88474991614049</v>
      </c>
      <c r="O70" s="221">
        <f t="shared" si="13"/>
        <v>302.770097390008</v>
      </c>
    </row>
    <row r="71" spans="2:15" ht="12.95" customHeight="1" x14ac:dyDescent="0.2">
      <c r="B71" s="1" t="s">
        <v>163</v>
      </c>
      <c r="J71" s="277"/>
      <c r="K71" s="35">
        <f ca="1">-K64</f>
        <v>-68.230865912273998</v>
      </c>
      <c r="L71" s="35">
        <f t="shared" ref="L71:O71" ca="1" si="14">-L64</f>
        <v>-63.710751441226918</v>
      </c>
      <c r="M71" s="35">
        <f t="shared" ca="1" si="14"/>
        <v>-58.408753880702392</v>
      </c>
      <c r="N71" s="35">
        <f t="shared" ca="1" si="14"/>
        <v>-52.196101501749489</v>
      </c>
      <c r="O71" s="35">
        <f t="shared" ca="1" si="14"/>
        <v>-48.871667499999987</v>
      </c>
    </row>
    <row r="72" spans="2:15" ht="12.95" customHeight="1" x14ac:dyDescent="0.2">
      <c r="B72" s="1" t="s">
        <v>181</v>
      </c>
      <c r="J72" s="277"/>
      <c r="K72" s="35">
        <f ca="1">+K112</f>
        <v>-21.137417868446832</v>
      </c>
      <c r="L72" s="35">
        <f t="shared" ref="L72:O72" ca="1" si="15">+L112</f>
        <v>-26.114834330687973</v>
      </c>
      <c r="M72" s="35">
        <f t="shared" ca="1" si="15"/>
        <v>-31.632154499115547</v>
      </c>
      <c r="N72" s="35">
        <f t="shared" ca="1" si="15"/>
        <v>-37.786380223793373</v>
      </c>
      <c r="O72" s="35">
        <f t="shared" ca="1" si="15"/>
        <v>-45.114563718743199</v>
      </c>
    </row>
    <row r="73" spans="2:15" ht="12.95" customHeight="1" x14ac:dyDescent="0.2">
      <c r="B73" s="1" t="s">
        <v>164</v>
      </c>
      <c r="J73" s="278"/>
      <c r="K73" s="35">
        <f>+K207</f>
        <v>4.6723983343924207</v>
      </c>
      <c r="L73" s="35">
        <f t="shared" ref="L73:O73" si="16">+L207</f>
        <v>-4.0769527296803361</v>
      </c>
      <c r="M73" s="35">
        <f t="shared" si="16"/>
        <v>-4.3758249183255966</v>
      </c>
      <c r="N73" s="35">
        <f t="shared" si="16"/>
        <v>-4.6965621450057498</v>
      </c>
      <c r="O73" s="35">
        <f t="shared" si="16"/>
        <v>-5.0407610413213053</v>
      </c>
    </row>
    <row r="74" spans="2:15" ht="12.95" customHeight="1" x14ac:dyDescent="0.2">
      <c r="B74" s="4" t="s">
        <v>165</v>
      </c>
      <c r="C74" s="4"/>
      <c r="D74" s="4"/>
      <c r="E74" s="4"/>
      <c r="F74" s="4"/>
      <c r="G74" s="4"/>
      <c r="H74" s="4"/>
      <c r="I74" s="4"/>
      <c r="J74" s="278"/>
      <c r="K74" s="35">
        <f>-K65</f>
        <v>-45.755356050000003</v>
      </c>
      <c r="L74" s="35">
        <f t="shared" ref="L74:O74" si="17">-L65</f>
        <v>-49.548089178000005</v>
      </c>
      <c r="M74" s="35">
        <f t="shared" si="17"/>
        <v>-53.647603699275017</v>
      </c>
      <c r="N74" s="35">
        <f t="shared" si="17"/>
        <v>-58.078264616556318</v>
      </c>
      <c r="O74" s="35">
        <f t="shared" si="17"/>
        <v>-62.866344804130563</v>
      </c>
    </row>
    <row r="75" spans="2:15" s="4" customFormat="1" ht="12.95" customHeight="1" x14ac:dyDescent="0.2">
      <c r="B75" s="282" t="s">
        <v>166</v>
      </c>
      <c r="C75" s="94"/>
      <c r="D75" s="94"/>
      <c r="E75" s="94"/>
      <c r="F75" s="94"/>
      <c r="G75" s="94"/>
      <c r="H75" s="94"/>
      <c r="I75" s="94"/>
      <c r="J75" s="279"/>
      <c r="K75" s="234">
        <f ca="1">SUM(K70:K74)</f>
        <v>80.684919553671506</v>
      </c>
      <c r="L75" s="234">
        <f t="shared" ref="L75:O75" ca="1" si="18">SUM(L70:L74)</f>
        <v>87.77378848440469</v>
      </c>
      <c r="M75" s="234">
        <f t="shared" ca="1" si="18"/>
        <v>105.02612280739638</v>
      </c>
      <c r="N75" s="234">
        <f t="shared" ca="1" si="18"/>
        <v>124.12744142903557</v>
      </c>
      <c r="O75" s="235">
        <f t="shared" ca="1" si="18"/>
        <v>140.87676032581294</v>
      </c>
    </row>
    <row r="76" spans="2:15" s="4" customFormat="1" ht="12.95" customHeight="1" x14ac:dyDescent="0.2">
      <c r="B76" s="40" t="s">
        <v>167</v>
      </c>
      <c r="C76" s="2"/>
      <c r="D76" s="2"/>
      <c r="E76" s="2"/>
      <c r="F76" s="2"/>
      <c r="G76" s="2"/>
      <c r="H76" s="2"/>
      <c r="I76" s="2"/>
      <c r="J76" s="280"/>
      <c r="K76" s="42">
        <f ca="1">+K75</f>
        <v>80.684919553671506</v>
      </c>
      <c r="L76" s="42">
        <f ca="1">+K76+L75</f>
        <v>168.4587080380762</v>
      </c>
      <c r="M76" s="42">
        <f t="shared" ref="M76:O76" ca="1" si="19">+L76+M75</f>
        <v>273.48483084547257</v>
      </c>
      <c r="N76" s="42">
        <f t="shared" ca="1" si="19"/>
        <v>397.61227227450814</v>
      </c>
      <c r="O76" s="43">
        <f t="shared" ca="1" si="19"/>
        <v>538.48903260032102</v>
      </c>
    </row>
    <row r="77" spans="2:15" ht="3" customHeight="1" x14ac:dyDescent="0.2">
      <c r="J77" s="131"/>
      <c r="K77" s="270"/>
      <c r="L77" s="99"/>
      <c r="M77" s="99"/>
      <c r="N77" s="99"/>
      <c r="O77" s="99"/>
    </row>
    <row r="78" spans="2:15" ht="12.95" customHeight="1" x14ac:dyDescent="0.2">
      <c r="B78" s="24" t="s">
        <v>168</v>
      </c>
      <c r="J78" s="100" t="s">
        <v>126</v>
      </c>
      <c r="K78" s="4"/>
    </row>
    <row r="79" spans="2:15" ht="12.95" customHeight="1" x14ac:dyDescent="0.2">
      <c r="B79" s="1" t="s">
        <v>40</v>
      </c>
      <c r="J79" s="101">
        <f>+J139</f>
        <v>0</v>
      </c>
      <c r="K79" s="54">
        <f t="shared" ref="K79:O79" ca="1" si="20">+K139</f>
        <v>5</v>
      </c>
      <c r="L79" s="15">
        <f t="shared" ca="1" si="20"/>
        <v>5</v>
      </c>
      <c r="M79" s="15">
        <f t="shared" ca="1" si="20"/>
        <v>5</v>
      </c>
      <c r="N79" s="15">
        <f t="shared" ca="1" si="20"/>
        <v>5</v>
      </c>
      <c r="O79" s="15">
        <f t="shared" ca="1" si="20"/>
        <v>5</v>
      </c>
    </row>
    <row r="80" spans="2:15" ht="3" customHeight="1" x14ac:dyDescent="0.2">
      <c r="J80" s="102"/>
      <c r="K80" s="4"/>
    </row>
    <row r="81" spans="2:16" ht="12.95" hidden="1" customHeight="1" outlineLevel="1" x14ac:dyDescent="0.2">
      <c r="B81" s="1" t="s">
        <v>169</v>
      </c>
      <c r="J81" s="103">
        <f>+J158</f>
        <v>0</v>
      </c>
      <c r="K81" s="175">
        <f t="shared" ref="K81:O81" si="21">+K158</f>
        <v>0</v>
      </c>
      <c r="L81" s="14">
        <f t="shared" si="21"/>
        <v>0</v>
      </c>
      <c r="M81" s="14">
        <f t="shared" si="21"/>
        <v>0</v>
      </c>
      <c r="N81" s="14">
        <f t="shared" si="21"/>
        <v>0</v>
      </c>
      <c r="O81" s="14">
        <f t="shared" si="21"/>
        <v>0</v>
      </c>
    </row>
    <row r="82" spans="2:16" ht="3" hidden="1" customHeight="1" outlineLevel="1" x14ac:dyDescent="0.2">
      <c r="J82" s="283"/>
      <c r="K82" s="88"/>
      <c r="L82" s="264"/>
      <c r="M82" s="264"/>
      <c r="N82" s="264"/>
      <c r="O82" s="264"/>
    </row>
    <row r="83" spans="2:16" ht="12.95" customHeight="1" collapsed="1" x14ac:dyDescent="0.2">
      <c r="B83" s="1" t="str">
        <f>+B48</f>
        <v>Revolving Credit Facility</v>
      </c>
      <c r="J83" s="104">
        <f>+J159</f>
        <v>0</v>
      </c>
      <c r="K83" s="35">
        <f t="shared" ref="K83:O83" ca="1" si="22">+K159</f>
        <v>0</v>
      </c>
      <c r="L83" s="16">
        <f t="shared" ca="1" si="22"/>
        <v>0</v>
      </c>
      <c r="M83" s="16">
        <f t="shared" ca="1" si="22"/>
        <v>0</v>
      </c>
      <c r="N83" s="16">
        <f t="shared" ca="1" si="22"/>
        <v>0</v>
      </c>
      <c r="O83" s="16">
        <f t="shared" ca="1" si="22"/>
        <v>0</v>
      </c>
    </row>
    <row r="84" spans="2:16" ht="12.95" customHeight="1" x14ac:dyDescent="0.2">
      <c r="B84" s="1" t="str">
        <f>+B49</f>
        <v>First Lien Term Loan</v>
      </c>
      <c r="J84" s="104">
        <f t="shared" ref="J84:O85" si="23">+J160</f>
        <v>389.37333999999987</v>
      </c>
      <c r="K84" s="35">
        <f t="shared" ca="1" si="23"/>
        <v>313.68842044632839</v>
      </c>
      <c r="L84" s="16">
        <f t="shared" ca="1" si="23"/>
        <v>225.91463196192365</v>
      </c>
      <c r="M84" s="16">
        <f t="shared" ca="1" si="23"/>
        <v>120.88850915452724</v>
      </c>
      <c r="N84" s="16">
        <f t="shared" ca="1" si="23"/>
        <v>0</v>
      </c>
      <c r="O84" s="16">
        <f t="shared" ca="1" si="23"/>
        <v>0</v>
      </c>
    </row>
    <row r="85" spans="2:16" ht="12.95" customHeight="1" x14ac:dyDescent="0.2">
      <c r="B85" s="3" t="str">
        <f>+B50</f>
        <v>Second Lien Term Loan</v>
      </c>
      <c r="C85" s="3"/>
      <c r="D85" s="3"/>
      <c r="E85" s="3"/>
      <c r="F85" s="3"/>
      <c r="G85" s="3"/>
      <c r="H85" s="3"/>
      <c r="I85" s="3"/>
      <c r="J85" s="105">
        <f t="shared" si="23"/>
        <v>194.68666999999994</v>
      </c>
      <c r="K85" s="66">
        <f t="shared" ca="1" si="23"/>
        <v>210.91055916666659</v>
      </c>
      <c r="L85" s="66">
        <f t="shared" ca="1" si="23"/>
        <v>228.48643909722213</v>
      </c>
      <c r="M85" s="66">
        <f t="shared" ca="1" si="23"/>
        <v>247.5269756886573</v>
      </c>
      <c r="N85" s="66">
        <f t="shared" ca="1" si="23"/>
        <v>264.78033587676589</v>
      </c>
      <c r="O85" s="66">
        <f t="shared" ca="1" si="23"/>
        <v>140.09873852710791</v>
      </c>
    </row>
    <row r="86" spans="2:16" ht="12.95" customHeight="1" x14ac:dyDescent="0.2">
      <c r="B86" s="69" t="s">
        <v>170</v>
      </c>
      <c r="C86" s="69"/>
      <c r="D86" s="69"/>
      <c r="E86" s="69"/>
      <c r="F86" s="69"/>
      <c r="G86" s="69"/>
      <c r="H86" s="69"/>
      <c r="I86" s="69"/>
      <c r="J86" s="106">
        <f>+SUM(J83:J85)</f>
        <v>584.06000999999981</v>
      </c>
      <c r="K86" s="71">
        <f t="shared" ref="K86:O86" ca="1" si="24">+SUM(K83:K85)</f>
        <v>524.59897961299498</v>
      </c>
      <c r="L86" s="71">
        <f t="shared" ca="1" si="24"/>
        <v>454.40107105914581</v>
      </c>
      <c r="M86" s="71">
        <f t="shared" ca="1" si="24"/>
        <v>368.41548484318457</v>
      </c>
      <c r="N86" s="71">
        <f t="shared" ca="1" si="24"/>
        <v>264.78033587676589</v>
      </c>
      <c r="O86" s="71">
        <f t="shared" ca="1" si="24"/>
        <v>140.09873852710791</v>
      </c>
    </row>
    <row r="87" spans="2:16" ht="12.95" customHeight="1" x14ac:dyDescent="0.2">
      <c r="B87" s="3" t="str">
        <f>+B51</f>
        <v>Notes</v>
      </c>
      <c r="C87" s="3"/>
      <c r="D87" s="3"/>
      <c r="E87" s="3"/>
      <c r="F87" s="3"/>
      <c r="G87" s="3"/>
      <c r="H87" s="3"/>
      <c r="I87" s="3"/>
      <c r="J87" s="105">
        <f>+J162</f>
        <v>486.71667499999984</v>
      </c>
      <c r="K87" s="66">
        <f t="shared" ref="K87:O87" ca="1" si="25">+K162</f>
        <v>486.71667499999984</v>
      </c>
      <c r="L87" s="66">
        <f t="shared" ca="1" si="25"/>
        <v>486.71667499999984</v>
      </c>
      <c r="M87" s="66">
        <f t="shared" ca="1" si="25"/>
        <v>486.71667499999984</v>
      </c>
      <c r="N87" s="66">
        <f t="shared" ca="1" si="25"/>
        <v>486.71667499999984</v>
      </c>
      <c r="O87" s="66">
        <f t="shared" ca="1" si="25"/>
        <v>486.71667499999984</v>
      </c>
    </row>
    <row r="88" spans="2:16" ht="12.95" customHeight="1" x14ac:dyDescent="0.2">
      <c r="B88" s="69" t="s">
        <v>171</v>
      </c>
      <c r="C88" s="4"/>
      <c r="D88" s="4"/>
      <c r="E88" s="4"/>
      <c r="F88" s="4"/>
      <c r="G88" s="4"/>
      <c r="H88" s="4"/>
      <c r="I88" s="4"/>
      <c r="J88" s="106">
        <f>+SUM(J86:J87)+J81</f>
        <v>1070.7766849999996</v>
      </c>
      <c r="K88" s="71">
        <f t="shared" ref="K88:O88" ca="1" si="26">+SUM(K86:K87)+K81</f>
        <v>1011.3156546129949</v>
      </c>
      <c r="L88" s="71">
        <f t="shared" ca="1" si="26"/>
        <v>941.1177460591457</v>
      </c>
      <c r="M88" s="71">
        <f t="shared" ca="1" si="26"/>
        <v>855.13215984318435</v>
      </c>
      <c r="N88" s="71">
        <f t="shared" ca="1" si="26"/>
        <v>751.49701087676567</v>
      </c>
      <c r="O88" s="71">
        <f t="shared" ca="1" si="26"/>
        <v>626.81541352710769</v>
      </c>
    </row>
    <row r="89" spans="2:16" ht="12.95" customHeight="1" x14ac:dyDescent="0.2">
      <c r="B89" s="3" t="str">
        <f>+B165</f>
        <v>Equity</v>
      </c>
      <c r="C89" s="3"/>
      <c r="D89" s="3"/>
      <c r="E89" s="3"/>
      <c r="F89" s="3"/>
      <c r="G89" s="3"/>
      <c r="H89" s="3"/>
      <c r="I89" s="3"/>
      <c r="J89" s="105">
        <f>+J165</f>
        <v>899.50554869999974</v>
      </c>
      <c r="K89" s="66">
        <f t="shared" ref="K89:O89" ca="1" si="27">+K165</f>
        <v>959.66589186404076</v>
      </c>
      <c r="L89" s="66">
        <f t="shared" ca="1" si="27"/>
        <v>1033.9927280359989</v>
      </c>
      <c r="M89" s="66">
        <f t="shared" ca="1" si="27"/>
        <v>1124.0227062257893</v>
      </c>
      <c r="N89" s="66">
        <f t="shared" ca="1" si="27"/>
        <v>1231.5685576319704</v>
      </c>
      <c r="O89" s="66">
        <f t="shared" ca="1" si="27"/>
        <v>1359.9715466776242</v>
      </c>
    </row>
    <row r="90" spans="2:16" ht="12.95" customHeight="1" x14ac:dyDescent="0.2">
      <c r="B90" s="69" t="s">
        <v>172</v>
      </c>
      <c r="C90" s="69"/>
      <c r="D90" s="69"/>
      <c r="E90" s="69"/>
      <c r="F90" s="69"/>
      <c r="G90" s="69"/>
      <c r="H90" s="69"/>
      <c r="I90" s="69"/>
      <c r="J90" s="106">
        <f>SUM(J88:J89)</f>
        <v>1970.2822336999993</v>
      </c>
      <c r="K90" s="71">
        <f t="shared" ref="K90:O90" ca="1" si="28">SUM(K88:K89)</f>
        <v>1970.9815464770356</v>
      </c>
      <c r="L90" s="71">
        <f t="shared" ca="1" si="28"/>
        <v>1975.1104740951446</v>
      </c>
      <c r="M90" s="71">
        <f t="shared" ca="1" si="28"/>
        <v>1979.1548660689737</v>
      </c>
      <c r="N90" s="71">
        <f t="shared" ca="1" si="28"/>
        <v>1983.0655685087361</v>
      </c>
      <c r="O90" s="71">
        <f t="shared" ca="1" si="28"/>
        <v>1986.7869602047319</v>
      </c>
    </row>
    <row r="91" spans="2:16" ht="3" customHeight="1" x14ac:dyDescent="0.2">
      <c r="J91" s="107"/>
      <c r="K91" s="4"/>
    </row>
    <row r="92" spans="2:16" ht="12.95" customHeight="1" x14ac:dyDescent="0.2">
      <c r="B92" s="24" t="s">
        <v>173</v>
      </c>
      <c r="J92" s="102"/>
      <c r="K92" s="284"/>
      <c r="O92" s="108"/>
      <c r="P92" s="109"/>
    </row>
    <row r="93" spans="2:16" ht="12.95" customHeight="1" x14ac:dyDescent="0.2">
      <c r="B93" s="1" t="s">
        <v>174</v>
      </c>
      <c r="J93" s="281">
        <f>+J88/J61</f>
        <v>5.5</v>
      </c>
      <c r="K93" s="111">
        <f t="shared" ref="K93:O93" ca="1" si="29">+K88/K61</f>
        <v>4.7898742194782145</v>
      </c>
      <c r="L93" s="111">
        <f t="shared" ca="1" si="29"/>
        <v>4.0701486532963784</v>
      </c>
      <c r="M93" s="111">
        <f t="shared" ca="1" si="29"/>
        <v>3.3787609398737035</v>
      </c>
      <c r="N93" s="111">
        <f t="shared" ca="1" si="29"/>
        <v>2.714114847799924</v>
      </c>
      <c r="O93" s="111">
        <f t="shared" ca="1" si="29"/>
        <v>2.0702685599750175</v>
      </c>
      <c r="P93" s="109"/>
    </row>
    <row r="94" spans="2:16" ht="12.95" customHeight="1" x14ac:dyDescent="0.2">
      <c r="B94" s="1" t="s">
        <v>175</v>
      </c>
      <c r="J94" s="281">
        <f>+(J88-J79)/J61</f>
        <v>5.5</v>
      </c>
      <c r="K94" s="111">
        <f t="shared" ref="K94:O94" ca="1" si="30">+(K88-K79)/K61</f>
        <v>4.7661928189301772</v>
      </c>
      <c r="L94" s="111">
        <f t="shared" ca="1" si="30"/>
        <v>4.0485246393494529</v>
      </c>
      <c r="M94" s="111">
        <f t="shared" ca="1" si="30"/>
        <v>3.3590051576768718</v>
      </c>
      <c r="N94" s="111">
        <f t="shared" ca="1" si="30"/>
        <v>2.6960567929539478</v>
      </c>
      <c r="O94" s="111">
        <f t="shared" ca="1" si="30"/>
        <v>2.0537543796015201</v>
      </c>
      <c r="P94" s="109"/>
    </row>
    <row r="95" spans="2:16" ht="12.95" customHeight="1" x14ac:dyDescent="0.2">
      <c r="B95" s="1" t="s">
        <v>176</v>
      </c>
      <c r="J95" s="107"/>
      <c r="K95" s="114">
        <f ca="1">+K75/K88</f>
        <v>7.9782132498035535E-2</v>
      </c>
      <c r="L95" s="114">
        <f t="shared" ref="L95:O95" ca="1" si="31">+L75/L88</f>
        <v>9.3265469546133115E-2</v>
      </c>
      <c r="M95" s="114">
        <f t="shared" ca="1" si="31"/>
        <v>0.12281858610797219</v>
      </c>
      <c r="N95" s="114">
        <f t="shared" ca="1" si="31"/>
        <v>0.1651735664047646</v>
      </c>
      <c r="O95" s="114">
        <f t="shared" ca="1" si="31"/>
        <v>0.22474999383486041</v>
      </c>
    </row>
    <row r="96" spans="2:16" ht="3" customHeight="1" x14ac:dyDescent="0.2">
      <c r="J96" s="107"/>
      <c r="K96" s="4"/>
      <c r="O96" s="76"/>
    </row>
    <row r="97" spans="1:15" ht="12.95" customHeight="1" x14ac:dyDescent="0.2">
      <c r="B97" s="1" t="s">
        <v>177</v>
      </c>
      <c r="J97" s="107"/>
      <c r="K97" s="111">
        <f ca="1">+K61/K64</f>
        <v>3.0944376599508874</v>
      </c>
      <c r="L97" s="111">
        <f t="shared" ref="L97:O97" ca="1" si="32">+L61/L64</f>
        <v>3.6292840836652842</v>
      </c>
      <c r="M97" s="111">
        <f t="shared" ca="1" si="32"/>
        <v>4.3330912404284874</v>
      </c>
      <c r="N97" s="111">
        <f t="shared" ca="1" si="32"/>
        <v>5.3047017296274506</v>
      </c>
      <c r="O97" s="111">
        <f t="shared" ca="1" si="32"/>
        <v>6.1952070162125752</v>
      </c>
    </row>
    <row r="98" spans="1:15" ht="12.95" customHeight="1" x14ac:dyDescent="0.2">
      <c r="B98" s="1" t="s">
        <v>178</v>
      </c>
      <c r="J98" s="179"/>
      <c r="K98" s="111">
        <f ca="1">+(K61-K65)/K64</f>
        <v>2.423841509099911</v>
      </c>
      <c r="L98" s="111">
        <f t="shared" ref="L98:O98" ca="1" si="33">+(L61-L65)/L64</f>
        <v>2.8515803514512945</v>
      </c>
      <c r="M98" s="111">
        <f t="shared" ca="1" si="33"/>
        <v>3.4146055660234458</v>
      </c>
      <c r="N98" s="111">
        <f t="shared" ca="1" si="33"/>
        <v>4.1920081960958386</v>
      </c>
      <c r="O98" s="111">
        <f t="shared" ca="1" si="33"/>
        <v>4.9088513827746416</v>
      </c>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5"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5"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5" ht="12.95" customHeight="1" x14ac:dyDescent="0.2">
      <c r="B106" s="4" t="s">
        <v>17</v>
      </c>
      <c r="C106" s="4"/>
      <c r="D106" s="4"/>
      <c r="E106" s="4"/>
      <c r="F106" s="4"/>
      <c r="G106" s="4"/>
      <c r="H106" s="121">
        <f t="shared" ref="H106:O106" si="34">SUM(H104:H105)</f>
        <v>387</v>
      </c>
      <c r="I106" s="121">
        <f t="shared" si="34"/>
        <v>415.053</v>
      </c>
      <c r="J106" s="126">
        <f t="shared" si="34"/>
        <v>445.13711999999998</v>
      </c>
      <c r="K106" s="62">
        <f t="shared" si="34"/>
        <v>478.50179579999997</v>
      </c>
      <c r="L106" s="62">
        <f t="shared" si="34"/>
        <v>514.35635432399999</v>
      </c>
      <c r="M106" s="62">
        <f t="shared" si="34"/>
        <v>552.88589224194004</v>
      </c>
      <c r="N106" s="62">
        <f t="shared" si="34"/>
        <v>594.28921933220408</v>
      </c>
      <c r="O106" s="62">
        <f t="shared" si="34"/>
        <v>638.77987134311957</v>
      </c>
    </row>
    <row r="107" spans="1:15"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5" ht="12.95" customHeight="1" x14ac:dyDescent="0.2">
      <c r="B108" s="69" t="s">
        <v>25</v>
      </c>
      <c r="C108" s="69"/>
      <c r="D108" s="69"/>
      <c r="E108" s="69"/>
      <c r="F108" s="69"/>
      <c r="G108" s="69"/>
      <c r="H108" s="122">
        <f t="shared" ref="H108:O108" si="35">+SUM(H106:H107)</f>
        <v>134.99999999999997</v>
      </c>
      <c r="I108" s="122">
        <f t="shared" si="35"/>
        <v>144.44999999999999</v>
      </c>
      <c r="J108" s="128">
        <f t="shared" si="35"/>
        <v>154.56149999999991</v>
      </c>
      <c r="K108" s="96">
        <f t="shared" si="35"/>
        <v>169.2396904499999</v>
      </c>
      <c r="L108" s="96">
        <f t="shared" si="35"/>
        <v>185.21547621299993</v>
      </c>
      <c r="M108" s="96">
        <f t="shared" si="35"/>
        <v>202.59859749961493</v>
      </c>
      <c r="N108" s="96">
        <f t="shared" si="35"/>
        <v>221.50779993291235</v>
      </c>
      <c r="O108" s="96">
        <f t="shared" si="35"/>
        <v>242.07155757912329</v>
      </c>
    </row>
    <row r="109" spans="1:15" ht="12.95" customHeight="1" x14ac:dyDescent="0.2">
      <c r="B109" s="4" t="s">
        <v>20</v>
      </c>
      <c r="C109" s="4"/>
      <c r="D109" s="4"/>
      <c r="E109" s="4"/>
      <c r="F109" s="4"/>
      <c r="G109" s="4"/>
      <c r="H109" s="120">
        <v>0</v>
      </c>
      <c r="I109" s="120">
        <v>5.0000000000000001E-3</v>
      </c>
      <c r="J109" s="127">
        <v>7.4999999999999997E-3</v>
      </c>
      <c r="K109" s="62">
        <f ca="1">+K306</f>
        <v>2.5000000000000001E-2</v>
      </c>
      <c r="L109" s="62">
        <f ca="1">+L306</f>
        <v>0.05</v>
      </c>
      <c r="M109" s="62">
        <f ca="1">+M306</f>
        <v>0.05</v>
      </c>
      <c r="N109" s="62">
        <f ca="1">+N306</f>
        <v>0.05</v>
      </c>
      <c r="O109" s="62">
        <f ca="1">+O306</f>
        <v>0.05</v>
      </c>
    </row>
    <row r="110" spans="1:15" ht="12.95" customHeight="1" x14ac:dyDescent="0.2">
      <c r="B110" s="3" t="s">
        <v>198</v>
      </c>
      <c r="C110" s="3"/>
      <c r="D110" s="3"/>
      <c r="E110" s="3"/>
      <c r="F110" s="3"/>
      <c r="G110" s="3"/>
      <c r="H110" s="120">
        <v>0</v>
      </c>
      <c r="I110" s="120">
        <v>0</v>
      </c>
      <c r="J110" s="127">
        <v>0</v>
      </c>
      <c r="K110" s="62">
        <f ca="1">-SUM(K317,K40)</f>
        <v>-87.966929417512091</v>
      </c>
      <c r="L110" s="62">
        <f ca="1">-SUM(L317,L40)</f>
        <v>-84.823805710353895</v>
      </c>
      <c r="M110" s="62">
        <f ca="1">-SUM(M317,M40)</f>
        <v>-80.986464810708995</v>
      </c>
      <c r="N110" s="62">
        <f ca="1">-SUM(N317,N40)</f>
        <v>-76.225568302937845</v>
      </c>
      <c r="O110" s="62">
        <f ca="1">-SUM(O317,O40)</f>
        <v>-68.60400481472638</v>
      </c>
    </row>
    <row r="111" spans="1:15" ht="12.95" customHeight="1" x14ac:dyDescent="0.2">
      <c r="B111" s="4" t="s">
        <v>26</v>
      </c>
      <c r="C111" s="4"/>
      <c r="D111" s="4"/>
      <c r="E111" s="4"/>
      <c r="F111" s="4"/>
      <c r="G111" s="4"/>
      <c r="H111" s="121">
        <f t="shared" ref="H111:O111" si="36">+SUM(H108:H110)</f>
        <v>134.99999999999997</v>
      </c>
      <c r="I111" s="121">
        <f t="shared" si="36"/>
        <v>144.45499999999998</v>
      </c>
      <c r="J111" s="126">
        <f t="shared" si="36"/>
        <v>154.5689999999999</v>
      </c>
      <c r="K111" s="222">
        <f t="shared" ca="1" si="36"/>
        <v>81.297761032487813</v>
      </c>
      <c r="L111" s="222">
        <f t="shared" ca="1" si="36"/>
        <v>100.44167050264605</v>
      </c>
      <c r="M111" s="222">
        <f t="shared" ca="1" si="36"/>
        <v>121.66213268890594</v>
      </c>
      <c r="N111" s="222">
        <f t="shared" ca="1" si="36"/>
        <v>145.3322316299745</v>
      </c>
      <c r="O111" s="222">
        <f t="shared" ca="1" si="36"/>
        <v>173.51755276439692</v>
      </c>
    </row>
    <row r="112" spans="1:15" ht="12.95" customHeight="1" x14ac:dyDescent="0.2">
      <c r="B112" s="4" t="s">
        <v>22</v>
      </c>
      <c r="C112" s="4"/>
      <c r="D112" s="4"/>
      <c r="E112" s="4"/>
      <c r="F112" s="4"/>
      <c r="G112" s="4"/>
      <c r="H112" s="120">
        <v>-47.249999999999986</v>
      </c>
      <c r="I112" s="120">
        <v>-37.558299999999996</v>
      </c>
      <c r="J112" s="127">
        <v>-40.187939999999976</v>
      </c>
      <c r="K112" s="62">
        <f ca="1">-K111*K131</f>
        <v>-21.137417868446832</v>
      </c>
      <c r="L112" s="62">
        <f ca="1">-L111*L131</f>
        <v>-26.114834330687973</v>
      </c>
      <c r="M112" s="62">
        <f ca="1">-M111*M131</f>
        <v>-31.632154499115547</v>
      </c>
      <c r="N112" s="62">
        <f ca="1">-N111*N131</f>
        <v>-37.786380223793373</v>
      </c>
      <c r="O112" s="62">
        <f ca="1">-O111*O131</f>
        <v>-45.114563718743199</v>
      </c>
    </row>
    <row r="113" spans="2:15" ht="12.95" customHeight="1" x14ac:dyDescent="0.2">
      <c r="B113" s="20" t="s">
        <v>23</v>
      </c>
      <c r="C113" s="21"/>
      <c r="D113" s="21"/>
      <c r="E113" s="21"/>
      <c r="F113" s="21"/>
      <c r="G113" s="21"/>
      <c r="H113" s="122">
        <f t="shared" ref="H113:O113" si="37">+SUM(H111:H112)</f>
        <v>87.749999999999986</v>
      </c>
      <c r="I113" s="122">
        <f t="shared" si="37"/>
        <v>106.89669999999998</v>
      </c>
      <c r="J113" s="128">
        <f t="shared" si="37"/>
        <v>114.38105999999993</v>
      </c>
      <c r="K113" s="234">
        <f t="shared" ca="1" si="37"/>
        <v>60.160343164040981</v>
      </c>
      <c r="L113" s="234">
        <f t="shared" ca="1" si="37"/>
        <v>74.326836171958078</v>
      </c>
      <c r="M113" s="234">
        <f t="shared" ca="1" si="37"/>
        <v>90.029978189790398</v>
      </c>
      <c r="N113" s="234">
        <f t="shared" ca="1" si="37"/>
        <v>107.54585140618113</v>
      </c>
      <c r="O113" s="235">
        <f t="shared" ca="1" si="37"/>
        <v>128.40298904565373</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38">+H108</f>
        <v>134.99999999999997</v>
      </c>
      <c r="I116" s="121">
        <f t="shared" si="38"/>
        <v>144.44999999999999</v>
      </c>
      <c r="J116" s="126">
        <f t="shared" si="38"/>
        <v>154.56149999999991</v>
      </c>
      <c r="K116" s="222">
        <f t="shared" si="38"/>
        <v>169.2396904499999</v>
      </c>
      <c r="L116" s="222">
        <f t="shared" si="38"/>
        <v>185.21547621299993</v>
      </c>
      <c r="M116" s="222">
        <f t="shared" si="38"/>
        <v>202.59859749961493</v>
      </c>
      <c r="N116" s="222">
        <f t="shared" si="38"/>
        <v>221.50779993291235</v>
      </c>
      <c r="O116" s="222">
        <f t="shared" si="38"/>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39">SUM(H116:H117)</f>
        <v>166.49999999999997</v>
      </c>
      <c r="I118" s="121">
        <f t="shared" si="39"/>
        <v>179.11799999999999</v>
      </c>
      <c r="J118" s="126">
        <f t="shared" si="39"/>
        <v>192.68666999999994</v>
      </c>
      <c r="K118" s="222">
        <f t="shared" si="39"/>
        <v>211.13616104999991</v>
      </c>
      <c r="L118" s="222">
        <f t="shared" si="39"/>
        <v>231.22441616399993</v>
      </c>
      <c r="M118" s="222">
        <f t="shared" si="39"/>
        <v>253.09045980481494</v>
      </c>
      <c r="N118" s="222">
        <f t="shared" si="39"/>
        <v>276.88474991614049</v>
      </c>
      <c r="O118" s="222">
        <f t="shared" si="39"/>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40">+SUM(H118:H119)</f>
        <v>173.49999999999997</v>
      </c>
      <c r="I120" s="122">
        <f t="shared" si="40"/>
        <v>184.11799999999999</v>
      </c>
      <c r="J120" s="128">
        <f t="shared" si="40"/>
        <v>194.68666999999994</v>
      </c>
      <c r="K120" s="96">
        <f t="shared" si="40"/>
        <v>211.13616104999991</v>
      </c>
      <c r="L120" s="96">
        <f t="shared" si="40"/>
        <v>231.22441616399993</v>
      </c>
      <c r="M120" s="96">
        <f t="shared" si="40"/>
        <v>253.09045980481494</v>
      </c>
      <c r="N120" s="96">
        <f t="shared" si="40"/>
        <v>276.88474991614049</v>
      </c>
      <c r="O120" s="97">
        <f t="shared" si="40"/>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41">+K127+0.002</f>
        <v>0.43599999999999994</v>
      </c>
      <c r="M127" s="134">
        <f t="shared" si="41"/>
        <v>0.43799999999999994</v>
      </c>
      <c r="N127" s="134">
        <f t="shared" si="41"/>
        <v>0.43999999999999995</v>
      </c>
      <c r="O127" s="134">
        <f t="shared" si="41"/>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42">+K128-0.0015</f>
        <v>0.27900000000000003</v>
      </c>
      <c r="M128" s="134">
        <f t="shared" si="42"/>
        <v>0.27750000000000002</v>
      </c>
      <c r="N128" s="134">
        <f t="shared" si="42"/>
        <v>0.27600000000000002</v>
      </c>
      <c r="O128" s="134">
        <f t="shared" si="42"/>
        <v>0.27450000000000002</v>
      </c>
    </row>
    <row r="129" spans="1:24" s="4" customFormat="1" ht="12.95" customHeight="1" x14ac:dyDescent="0.2">
      <c r="B129" s="4" t="s">
        <v>30</v>
      </c>
      <c r="H129" s="135">
        <f t="shared" ref="H129:O129" si="43">+H120/H104</f>
        <v>0.19277777777777774</v>
      </c>
      <c r="I129" s="135">
        <f t="shared" si="43"/>
        <v>0.19119210799584632</v>
      </c>
      <c r="J129" s="136">
        <f t="shared" si="43"/>
        <v>0.18894097495171816</v>
      </c>
      <c r="K129" s="135">
        <f t="shared" si="43"/>
        <v>0.19149999999999992</v>
      </c>
      <c r="L129" s="135">
        <f t="shared" si="43"/>
        <v>0.19599999999999992</v>
      </c>
      <c r="M129" s="135">
        <f t="shared" si="43"/>
        <v>0.2004999999999999</v>
      </c>
      <c r="N129" s="135">
        <f t="shared" si="43"/>
        <v>0.20499999999999993</v>
      </c>
      <c r="O129" s="135">
        <f t="shared" si="43"/>
        <v>0.20949999999999996</v>
      </c>
    </row>
    <row r="130" spans="1:24" s="4" customFormat="1" ht="12.95" customHeight="1" x14ac:dyDescent="0.2">
      <c r="B130" s="4" t="s">
        <v>32</v>
      </c>
      <c r="H130" s="33"/>
      <c r="I130" s="135">
        <f t="shared" ref="I130:O130" si="44">+I120/H120-1</f>
        <v>6.1198847262248002E-2</v>
      </c>
      <c r="J130" s="136">
        <f t="shared" si="44"/>
        <v>5.7401612009689185E-2</v>
      </c>
      <c r="K130" s="135">
        <f t="shared" si="44"/>
        <v>8.4492128043486492E-2</v>
      </c>
      <c r="L130" s="135">
        <f t="shared" si="44"/>
        <v>9.5143603133159393E-2</v>
      </c>
      <c r="M130" s="135">
        <f t="shared" si="44"/>
        <v>9.4566326530612255E-2</v>
      </c>
      <c r="N130" s="135">
        <f t="shared" si="44"/>
        <v>9.4014962593516493E-2</v>
      </c>
      <c r="O130" s="135">
        <f t="shared" si="44"/>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f ca="1">+J139+K220</f>
        <v>5</v>
      </c>
      <c r="L139" s="221">
        <f ca="1">+K139+L220</f>
        <v>5</v>
      </c>
      <c r="M139" s="221">
        <f ca="1">+L139+M220</f>
        <v>5</v>
      </c>
      <c r="N139" s="221">
        <f ca="1">+M139+N220</f>
        <v>5</v>
      </c>
      <c r="O139" s="221">
        <f ca="1">+N139+O220</f>
        <v>5</v>
      </c>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45">+SUM(J139:J142)</f>
        <v>173.34238992211951</v>
      </c>
      <c r="K143" s="238">
        <f t="shared" ca="1" si="45"/>
        <v>187.96286050053121</v>
      </c>
      <c r="L143" s="238">
        <f t="shared" ca="1" si="45"/>
        <v>200.52950228475203</v>
      </c>
      <c r="M143" s="238">
        <f t="shared" ca="1" si="45"/>
        <v>213.95895590231126</v>
      </c>
      <c r="N143" s="238">
        <f t="shared" ca="1" si="45"/>
        <v>228.31043846513344</v>
      </c>
      <c r="O143" s="238">
        <f t="shared" ca="1" si="45"/>
        <v>243.64722970282941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46">+SUM(J143:J148)</f>
        <v>2119.5265357958901</v>
      </c>
      <c r="K149" s="240">
        <f t="shared" ca="1" si="46"/>
        <v>2142.5559154857301</v>
      </c>
      <c r="L149" s="240">
        <f t="shared" ca="1" si="46"/>
        <v>2158.2616405183794</v>
      </c>
      <c r="M149" s="240">
        <f t="shared" ca="1" si="46"/>
        <v>2174.662867136642</v>
      </c>
      <c r="N149" s="240">
        <f t="shared" ca="1" si="46"/>
        <v>2191.7629203555853</v>
      </c>
      <c r="O149" s="241">
        <f t="shared" ca="1" si="46"/>
        <v>2209.5621827346149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47">SUM(J151:J153)</f>
        <v>138.94020209589044</v>
      </c>
      <c r="K154" s="242">
        <f t="shared" si="47"/>
        <v>160.54898200869457</v>
      </c>
      <c r="L154" s="238">
        <f t="shared" si="47"/>
        <v>171.35400233323509</v>
      </c>
      <c r="M154" s="238">
        <f t="shared" si="47"/>
        <v>182.88503549136868</v>
      </c>
      <c r="N154" s="238">
        <f t="shared" si="47"/>
        <v>195.19077868020815</v>
      </c>
      <c r="O154" s="238">
        <f t="shared" si="47"/>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 ca="1">+K256</f>
        <v>0</v>
      </c>
      <c r="L159" s="35">
        <f ca="1">+L256</f>
        <v>0</v>
      </c>
      <c r="M159" s="35">
        <f ca="1">+M256</f>
        <v>0</v>
      </c>
      <c r="N159" s="35">
        <f ca="1">+N256</f>
        <v>0</v>
      </c>
      <c r="O159" s="35">
        <f ca="1">+O256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f ca="1">+K270</f>
        <v>313.68842044632839</v>
      </c>
      <c r="L160" s="35">
        <f ca="1">+L270</f>
        <v>225.91463196192365</v>
      </c>
      <c r="M160" s="35">
        <f ca="1">+M270</f>
        <v>120.88850915452724</v>
      </c>
      <c r="N160" s="35">
        <f ca="1">+N270</f>
        <v>0</v>
      </c>
      <c r="O160" s="35">
        <f ca="1">+O270</f>
        <v>0</v>
      </c>
      <c r="Q160" s="174"/>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f ca="1">+K281</f>
        <v>210.91055916666659</v>
      </c>
      <c r="L161" s="35">
        <f ca="1">+L281</f>
        <v>228.48643909722213</v>
      </c>
      <c r="M161" s="35">
        <f ca="1">+M281</f>
        <v>247.5269756886573</v>
      </c>
      <c r="N161" s="35">
        <f ca="1">+N281</f>
        <v>264.78033587676589</v>
      </c>
      <c r="O161" s="35">
        <f ca="1">+O281</f>
        <v>140.09873852710791</v>
      </c>
      <c r="Q161" s="174"/>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f ca="1">+K291</f>
        <v>486.71667499999984</v>
      </c>
      <c r="L162" s="66">
        <f ca="1">+L291</f>
        <v>486.71667499999984</v>
      </c>
      <c r="M162" s="66">
        <f ca="1">+M291</f>
        <v>486.71667499999984</v>
      </c>
      <c r="N162" s="66">
        <f ca="1">+N291</f>
        <v>486.71667499999984</v>
      </c>
      <c r="O162" s="66">
        <f ca="1">+O291</f>
        <v>486.71667499999984</v>
      </c>
      <c r="Q162" s="174"/>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48">+SUM(J158:J162)</f>
        <v>1070.7766849999996</v>
      </c>
      <c r="K163" s="238">
        <f t="shared" ca="1" si="48"/>
        <v>1011.3156546129949</v>
      </c>
      <c r="L163" s="238">
        <f t="shared" ca="1" si="48"/>
        <v>941.1177460591457</v>
      </c>
      <c r="M163" s="238">
        <f t="shared" ca="1" si="48"/>
        <v>855.13215984318435</v>
      </c>
      <c r="N163" s="238">
        <f t="shared" ca="1" si="48"/>
        <v>751.49701087676567</v>
      </c>
      <c r="O163" s="238">
        <f t="shared" ca="1" si="48"/>
        <v>626.81541352710769</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 ca="1">+J165+K113</f>
        <v>959.66589186404076</v>
      </c>
      <c r="L165" s="35">
        <f ca="1">+K165+L113</f>
        <v>1033.9927280359989</v>
      </c>
      <c r="M165" s="35">
        <f ca="1">+L165+M113</f>
        <v>1124.0227062257893</v>
      </c>
      <c r="N165" s="35">
        <f ca="1">+M165+N113</f>
        <v>1231.5685576319704</v>
      </c>
      <c r="O165" s="35">
        <f ca="1">+N165+O113</f>
        <v>1359.9715466776242</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49">+SUM(J154,J156,J163,J165)</f>
        <v>2119.5265357958897</v>
      </c>
      <c r="K166" s="22">
        <f t="shared" ca="1" si="49"/>
        <v>2142.5559154857301</v>
      </c>
      <c r="L166" s="22">
        <f t="shared" ca="1" si="49"/>
        <v>2158.2616405183799</v>
      </c>
      <c r="M166" s="22">
        <f t="shared" ca="1" si="49"/>
        <v>2174.6628671366425</v>
      </c>
      <c r="N166" s="22">
        <f t="shared" ca="1" si="49"/>
        <v>2191.7629203555853</v>
      </c>
      <c r="O166" s="23">
        <f t="shared" ca="1" si="49"/>
        <v>2209.5621827346154</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hidden="1" customHeight="1" outlineLevel="1" x14ac:dyDescent="0.2">
      <c r="B168" s="4" t="s">
        <v>52</v>
      </c>
      <c r="E168" s="175">
        <f>+IF(ABS(E149-E166)&gt;0.001,1,0)</f>
        <v>0</v>
      </c>
      <c r="F168" s="175">
        <f>+IF(ABS(F149-F166)&gt;0.001,1,0)</f>
        <v>0</v>
      </c>
      <c r="G168" s="176">
        <f>+IF(ABS(G149-G166)&gt;0.001,1,0)</f>
        <v>0</v>
      </c>
      <c r="H168" s="112"/>
      <c r="J168" s="177">
        <f t="shared" ref="J168:O168" si="50">+IF(ABS(J149-J166)&gt;0.001,1,0)</f>
        <v>0</v>
      </c>
      <c r="K168" s="175">
        <f t="shared" ca="1" si="50"/>
        <v>0</v>
      </c>
      <c r="L168" s="175">
        <f t="shared" ca="1" si="50"/>
        <v>0</v>
      </c>
      <c r="M168" s="175">
        <f t="shared" ca="1" si="50"/>
        <v>0</v>
      </c>
      <c r="N168" s="175">
        <f t="shared" ca="1" si="50"/>
        <v>0</v>
      </c>
      <c r="O168" s="175">
        <f t="shared" ca="1" si="50"/>
        <v>0</v>
      </c>
    </row>
    <row r="169" spans="2:24" s="4" customFormat="1" ht="12.95" hidden="1" customHeight="1" outlineLevel="1" x14ac:dyDescent="0.2">
      <c r="G169" s="131"/>
      <c r="H169" s="112"/>
      <c r="J169" s="178"/>
    </row>
    <row r="170" spans="2:24" s="4" customFormat="1" ht="12.95" hidden="1" customHeight="1" outlineLevel="1" x14ac:dyDescent="0.2">
      <c r="B170" s="2" t="s">
        <v>58</v>
      </c>
      <c r="C170" s="3"/>
      <c r="D170" s="3"/>
      <c r="E170" s="3"/>
      <c r="F170" s="3"/>
      <c r="G170" s="133"/>
      <c r="H170" s="112"/>
      <c r="J170" s="179"/>
      <c r="K170" s="3"/>
      <c r="L170" s="3"/>
      <c r="M170" s="3"/>
      <c r="N170" s="3"/>
      <c r="O170" s="3"/>
    </row>
    <row r="171" spans="2:24" s="4" customFormat="1" ht="12.95" hidden="1"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hidden="1"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hidden="1"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hidden="1" customHeight="1" outlineLevel="1" x14ac:dyDescent="0.2">
      <c r="G174" s="131"/>
      <c r="H174" s="112"/>
      <c r="J174" s="107"/>
    </row>
    <row r="175" spans="2:24" s="69" customFormat="1" ht="12.95" customHeight="1" collapsed="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 ca="1">+(K143-K139)-K154</f>
        <v>22.413878491836641</v>
      </c>
      <c r="L186" s="200">
        <f ca="1">+(L143-L139)-L154</f>
        <v>24.17549995151694</v>
      </c>
      <c r="M186" s="200">
        <f ca="1">+(M143-M139)-M154</f>
        <v>26.073920410942577</v>
      </c>
      <c r="N186" s="200">
        <f ca="1">+(N143-N139)-N154</f>
        <v>28.11965978492529</v>
      </c>
      <c r="O186" s="200">
        <f ca="1">+(O143-O139)-O154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 ca="1">+K186/K171</f>
        <v>2.0329334917528644E-2</v>
      </c>
      <c r="L187" s="203">
        <f ca="1">+L186/L171</f>
        <v>2.0492636846519387E-2</v>
      </c>
      <c r="M187" s="203">
        <f ca="1">+M186/M171</f>
        <v>2.0655938775510207E-2</v>
      </c>
      <c r="N187" s="203">
        <f ca="1">+N186/N171</f>
        <v>2.0819240704500967E-2</v>
      </c>
      <c r="O187" s="203">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 ca="1">+K113</f>
        <v>60.160343164040981</v>
      </c>
      <c r="L193" s="15">
        <f ca="1">+L113</f>
        <v>74.326836171958078</v>
      </c>
      <c r="M193" s="15">
        <f ca="1">+M113</f>
        <v>90.029978189790398</v>
      </c>
      <c r="N193" s="15">
        <f ca="1">+N113</f>
        <v>107.54585140618113</v>
      </c>
      <c r="O193" s="15">
        <f ca="1">+O113</f>
        <v>128.40298904565373</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f ca="1">K316</f>
        <v>16.223889166666662</v>
      </c>
      <c r="L196" s="62">
        <f t="shared" ref="L196:O196" ca="1" si="51">L316</f>
        <v>17.575879930555548</v>
      </c>
      <c r="M196" s="62">
        <f t="shared" ca="1" si="51"/>
        <v>19.040536591435178</v>
      </c>
      <c r="N196" s="62">
        <f t="shared" ca="1" si="51"/>
        <v>20.49229246261693</v>
      </c>
      <c r="O196" s="62">
        <f t="shared" ca="1" si="51"/>
        <v>16.195162976154954</v>
      </c>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52">+(J140-K140)</f>
        <v>-4.5168657534246393</v>
      </c>
      <c r="L199" s="16">
        <f t="shared" si="52"/>
        <v>-6.3433733424657532</v>
      </c>
      <c r="M199" s="16">
        <f t="shared" si="52"/>
        <v>-6.7874094764383699</v>
      </c>
      <c r="N199" s="16">
        <f t="shared" si="52"/>
        <v>-7.2625281397890546</v>
      </c>
      <c r="O199" s="16">
        <f t="shared" si="52"/>
        <v>-7.7709051095742865</v>
      </c>
    </row>
    <row r="200" spans="2:15" ht="12.95" customHeight="1" x14ac:dyDescent="0.2">
      <c r="B200" s="1" t="str">
        <f>+"(Increase) / Decrease in "&amp;B141</f>
        <v>(Increase) / Decrease in Inventories</v>
      </c>
      <c r="H200" s="38"/>
      <c r="I200" s="38"/>
      <c r="J200" s="38"/>
      <c r="K200" s="16">
        <f t="shared" si="52"/>
        <v>-4.2586686249870525</v>
      </c>
      <c r="L200" s="16">
        <f t="shared" si="52"/>
        <v>-4.2166480077551114</v>
      </c>
      <c r="M200" s="16">
        <f t="shared" si="52"/>
        <v>-4.4949602767408265</v>
      </c>
      <c r="N200" s="16">
        <f t="shared" si="52"/>
        <v>-4.7915746881465395</v>
      </c>
      <c r="O200" s="16">
        <f t="shared" si="52"/>
        <v>-5.1076898117930227</v>
      </c>
    </row>
    <row r="201" spans="2:15" ht="12.95" customHeight="1" x14ac:dyDescent="0.2">
      <c r="B201" s="1" t="str">
        <f>+"(Increase) / Decrease in "&amp;B142</f>
        <v>(Increase) / Decrease in Prepaid Expenses</v>
      </c>
      <c r="H201" s="38"/>
      <c r="I201" s="38"/>
      <c r="J201" s="38"/>
      <c r="K201" s="16">
        <f t="shared" si="52"/>
        <v>-0.84493619999999936</v>
      </c>
      <c r="L201" s="16">
        <f t="shared" si="52"/>
        <v>-2.0066204339999985</v>
      </c>
      <c r="M201" s="16">
        <f t="shared" si="52"/>
        <v>-2.1470838643800079</v>
      </c>
      <c r="N201" s="16">
        <f t="shared" si="52"/>
        <v>-2.2973797348865972</v>
      </c>
      <c r="O201" s="16">
        <f t="shared" si="52"/>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53">+K151-J151</f>
        <v>5.1904433589041119</v>
      </c>
      <c r="L203" s="16">
        <f t="shared" si="53"/>
        <v>3.396423326794519</v>
      </c>
      <c r="M203" s="16">
        <f t="shared" si="53"/>
        <v>3.62059814071727</v>
      </c>
      <c r="N203" s="16">
        <f t="shared" si="53"/>
        <v>3.8595149542878886</v>
      </c>
      <c r="O203" s="16">
        <f t="shared" si="53"/>
        <v>4.1141391908688973</v>
      </c>
    </row>
    <row r="204" spans="2:15" ht="12.95" customHeight="1" x14ac:dyDescent="0.2">
      <c r="B204" s="1" t="str">
        <f>+"Increase / (Decrease) in "&amp;B152</f>
        <v>Increase / (Decrease) in Accrued Liabilities</v>
      </c>
      <c r="H204" s="38"/>
      <c r="I204" s="38"/>
      <c r="J204" s="38"/>
      <c r="K204" s="16">
        <f t="shared" si="53"/>
        <v>5.0838265539000034</v>
      </c>
      <c r="L204" s="16">
        <f t="shared" si="53"/>
        <v>3.5497115477460071</v>
      </c>
      <c r="M204" s="16">
        <f t="shared" si="53"/>
        <v>3.7814275859163331</v>
      </c>
      <c r="N204" s="16">
        <f t="shared" si="53"/>
        <v>4.0281902828465519</v>
      </c>
      <c r="O204" s="16">
        <f t="shared" si="53"/>
        <v>4.2909707621760305</v>
      </c>
    </row>
    <row r="205" spans="2:15" ht="12.95" customHeight="1" x14ac:dyDescent="0.2">
      <c r="B205" s="1" t="str">
        <f>+"Increase / (Decrease) in "&amp;B153</f>
        <v>Increase / (Decrease) in Deferred Revenue</v>
      </c>
      <c r="H205" s="38"/>
      <c r="I205" s="38"/>
      <c r="J205" s="38"/>
      <c r="K205" s="16">
        <f t="shared" si="53"/>
        <v>11.334509999999995</v>
      </c>
      <c r="L205" s="16">
        <f t="shared" si="53"/>
        <v>3.8588854500000025</v>
      </c>
      <c r="M205" s="16">
        <f t="shared" si="53"/>
        <v>4.129007431500014</v>
      </c>
      <c r="N205" s="16">
        <f t="shared" si="53"/>
        <v>4.4180379517050028</v>
      </c>
      <c r="O205" s="16">
        <f t="shared" si="53"/>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 ca="1">+SUM(K193:K196,K207)</f>
        <v>126.44027560367149</v>
      </c>
      <c r="L209" s="22">
        <f ca="1">+SUM(L193:L196,L207)</f>
        <v>137.32187766240475</v>
      </c>
      <c r="M209" s="22">
        <f ca="1">+SUM(M193:M196,M207)</f>
        <v>158.67372650667141</v>
      </c>
      <c r="N209" s="22">
        <f ca="1">+SUM(N193:N196,N207)</f>
        <v>182.20570604559188</v>
      </c>
      <c r="O209" s="23">
        <f ca="1">+SUM(O193:O196,O207)</f>
        <v>203.7431051299435</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 ca="1">+L228</f>
        <v>-7.787466799999998</v>
      </c>
      <c r="M216" s="16">
        <f ca="1">+M228</f>
        <v>-7.787466799999998</v>
      </c>
      <c r="N216" s="16">
        <f ca="1">+N228</f>
        <v>-7.787466799999998</v>
      </c>
      <c r="O216" s="16">
        <f ca="1">+O228</f>
        <v>0</v>
      </c>
    </row>
    <row r="217" spans="1:15" ht="12.95" customHeight="1" x14ac:dyDescent="0.2">
      <c r="B217" s="3" t="s">
        <v>83</v>
      </c>
      <c r="C217" s="3"/>
      <c r="D217" s="3"/>
      <c r="E217" s="3"/>
      <c r="F217" s="3"/>
      <c r="G217" s="3"/>
      <c r="H217" s="27"/>
      <c r="I217" s="27"/>
      <c r="J217" s="27"/>
      <c r="K217" s="66">
        <f ca="1">+K245</f>
        <v>-67.897452753671487</v>
      </c>
      <c r="L217" s="66">
        <f ca="1">+L245</f>
        <v>-79.986321684404743</v>
      </c>
      <c r="M217" s="66">
        <f ca="1">+M245</f>
        <v>-97.238656007396401</v>
      </c>
      <c r="N217" s="66">
        <f ca="1">+N245</f>
        <v>-116.33997462903557</v>
      </c>
      <c r="O217" s="66">
        <f ca="1">+O245</f>
        <v>-140.87676032581294</v>
      </c>
    </row>
    <row r="218" spans="1:15" s="76" customFormat="1" ht="12.95" customHeight="1" x14ac:dyDescent="0.2">
      <c r="B218" s="69" t="s">
        <v>84</v>
      </c>
      <c r="C218" s="69"/>
      <c r="D218" s="69"/>
      <c r="E218" s="69"/>
      <c r="F218" s="69"/>
      <c r="G218" s="69"/>
      <c r="H218" s="210"/>
      <c r="I218" s="210"/>
      <c r="J218" s="210"/>
      <c r="K218" s="71">
        <f ca="1">+SUM(K216:K217)</f>
        <v>-75.684919553671492</v>
      </c>
      <c r="L218" s="71">
        <f ca="1">+SUM(L216:L217)</f>
        <v>-87.773788484404747</v>
      </c>
      <c r="M218" s="71">
        <f ca="1">+SUM(M216:M217)</f>
        <v>-105.0261228073964</v>
      </c>
      <c r="N218" s="71">
        <f ca="1">+SUM(N216:N217)</f>
        <v>-124.12744142903557</v>
      </c>
      <c r="O218" s="71">
        <f ca="1">+SUM(O216:O217)</f>
        <v>-140.87676032581294</v>
      </c>
    </row>
    <row r="220" spans="1:15" ht="12.95" customHeight="1" x14ac:dyDescent="0.2">
      <c r="B220" s="207" t="s">
        <v>87</v>
      </c>
      <c r="C220" s="208"/>
      <c r="D220" s="208"/>
      <c r="E220" s="208"/>
      <c r="F220" s="208"/>
      <c r="G220" s="208"/>
      <c r="H220" s="209"/>
      <c r="I220" s="209"/>
      <c r="J220" s="209"/>
      <c r="K220" s="22">
        <f ca="1">+K209+K213+K218</f>
        <v>5</v>
      </c>
      <c r="L220" s="22">
        <f ca="1">+L209+L213+L218</f>
        <v>0</v>
      </c>
      <c r="M220" s="22">
        <f ca="1">+M209+M213+M218</f>
        <v>0</v>
      </c>
      <c r="N220" s="22">
        <f ca="1">+N209+N213+N218</f>
        <v>0</v>
      </c>
      <c r="O220" s="2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 ca="1">+L268</f>
        <v>-7.787466799999998</v>
      </c>
      <c r="M227" s="211">
        <f ca="1">+M268</f>
        <v>-7.787466799999998</v>
      </c>
      <c r="N227" s="211">
        <f ca="1">+N268</f>
        <v>-7.787466799999998</v>
      </c>
      <c r="O227" s="211">
        <f ca="1">+O268</f>
        <v>0</v>
      </c>
    </row>
    <row r="228" spans="2:15" s="76" customFormat="1" ht="12.95" customHeight="1" x14ac:dyDescent="0.2">
      <c r="B228" s="69" t="s">
        <v>74</v>
      </c>
      <c r="C228" s="69"/>
      <c r="D228" s="69"/>
      <c r="E228" s="69"/>
      <c r="F228" s="69"/>
      <c r="G228" s="69"/>
      <c r="H228" s="212"/>
      <c r="I228" s="212"/>
      <c r="J228" s="212"/>
      <c r="K228" s="71">
        <f>+SUM(K227)</f>
        <v>-7.787466799999998</v>
      </c>
      <c r="L228" s="71">
        <f ca="1">+SUM(L227)</f>
        <v>-7.787466799999998</v>
      </c>
      <c r="M228" s="71">
        <f ca="1">+SUM(M227)</f>
        <v>-7.787466799999998</v>
      </c>
      <c r="N228" s="71">
        <f ca="1">+SUM(N227)</f>
        <v>-7.787466799999998</v>
      </c>
      <c r="O228" s="71">
        <f ca="1">+SUM(O227)</f>
        <v>0</v>
      </c>
    </row>
    <row r="230" spans="2:15" ht="12.95" customHeight="1" x14ac:dyDescent="0.2">
      <c r="B230" s="24" t="s">
        <v>196</v>
      </c>
    </row>
    <row r="231" spans="2:15" ht="12.95" customHeight="1" x14ac:dyDescent="0.2">
      <c r="B231" s="1" t="s">
        <v>122</v>
      </c>
      <c r="K231" s="16">
        <f ca="1">+K209+K213</f>
        <v>80.684919553671492</v>
      </c>
      <c r="L231" s="16">
        <f ca="1">+L209+L213</f>
        <v>87.773788484404747</v>
      </c>
      <c r="M231" s="16">
        <f ca="1">+M209+M213</f>
        <v>105.0261228073964</v>
      </c>
      <c r="N231" s="16">
        <f ca="1">+N209+N213</f>
        <v>124.12744142903557</v>
      </c>
      <c r="O231" s="16">
        <f ca="1">+O209+O213</f>
        <v>140.87676032581294</v>
      </c>
    </row>
    <row r="232" spans="2:15" ht="12.95" customHeight="1" x14ac:dyDescent="0.2">
      <c r="B232" s="1" t="s">
        <v>123</v>
      </c>
      <c r="K232" s="16">
        <f>+K228</f>
        <v>-7.787466799999998</v>
      </c>
      <c r="L232" s="16">
        <f ca="1">+L228</f>
        <v>-7.787466799999998</v>
      </c>
      <c r="M232" s="16">
        <f ca="1">+M228</f>
        <v>-7.787466799999998</v>
      </c>
      <c r="N232" s="16">
        <f ca="1">+N228</f>
        <v>-7.787466799999998</v>
      </c>
      <c r="O232" s="16">
        <f ca="1">+O228</f>
        <v>0</v>
      </c>
    </row>
    <row r="233" spans="2:15" s="76" customFormat="1" ht="12.95" customHeight="1" x14ac:dyDescent="0.2">
      <c r="B233" s="20" t="s">
        <v>75</v>
      </c>
      <c r="C233" s="21"/>
      <c r="D233" s="21"/>
      <c r="E233" s="21"/>
      <c r="F233" s="21"/>
      <c r="G233" s="21"/>
      <c r="H233" s="21"/>
      <c r="I233" s="21"/>
      <c r="J233" s="21"/>
      <c r="K233" s="22">
        <f ca="1">SUM(K231:K232)</f>
        <v>72.897452753671487</v>
      </c>
      <c r="L233" s="22">
        <f ca="1">SUM(L231:L232)</f>
        <v>79.986321684404743</v>
      </c>
      <c r="M233" s="22">
        <f ca="1">SUM(M231:M232)</f>
        <v>97.238656007396401</v>
      </c>
      <c r="N233" s="22">
        <f ca="1">SUM(N231:N232)</f>
        <v>116.33997462903557</v>
      </c>
      <c r="O233" s="23">
        <f ca="1">SUM(O231:O232)</f>
        <v>140.87676032581294</v>
      </c>
    </row>
    <row r="235" spans="2:15" ht="12.95" customHeight="1" x14ac:dyDescent="0.2">
      <c r="B235" s="1" t="s">
        <v>76</v>
      </c>
      <c r="H235" s="38"/>
      <c r="I235" s="38"/>
      <c r="J235" s="38"/>
      <c r="K235" s="16">
        <f>+J139</f>
        <v>0</v>
      </c>
      <c r="L235" s="16">
        <f ca="1">+K139</f>
        <v>5</v>
      </c>
      <c r="M235" s="16">
        <f ca="1">+L139</f>
        <v>5</v>
      </c>
      <c r="N235" s="16">
        <f ca="1">+M139</f>
        <v>5</v>
      </c>
      <c r="O235" s="16">
        <f ca="1">+N139</f>
        <v>5</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 ca="1">+K233</f>
        <v>72.897452753671487</v>
      </c>
      <c r="L237" s="35">
        <f ca="1">+L233</f>
        <v>79.986321684404743</v>
      </c>
      <c r="M237" s="35">
        <f ca="1">+M233</f>
        <v>97.238656007396401</v>
      </c>
      <c r="N237" s="35">
        <f ca="1">+N233</f>
        <v>116.33997462903557</v>
      </c>
      <c r="O237" s="35">
        <f ca="1">+O233</f>
        <v>140.87676032581294</v>
      </c>
    </row>
    <row r="238" spans="2:15" s="76" customFormat="1" ht="12.95" customHeight="1" x14ac:dyDescent="0.2">
      <c r="B238" s="20" t="s">
        <v>86</v>
      </c>
      <c r="C238" s="21"/>
      <c r="D238" s="21"/>
      <c r="E238" s="21"/>
      <c r="F238" s="21"/>
      <c r="G238" s="21"/>
      <c r="H238" s="172"/>
      <c r="I238" s="172"/>
      <c r="J238" s="172"/>
      <c r="K238" s="22">
        <f ca="1">SUM(K235:K237)</f>
        <v>67.897452753671487</v>
      </c>
      <c r="L238" s="22">
        <f ca="1">SUM(L235:L237)</f>
        <v>79.986321684404743</v>
      </c>
      <c r="M238" s="22">
        <f ca="1">SUM(M235:M237)</f>
        <v>97.238656007396401</v>
      </c>
      <c r="N238" s="22">
        <f ca="1">SUM(N235:N237)</f>
        <v>116.33997462903557</v>
      </c>
      <c r="O238" s="23">
        <f ca="1">SUM(O235:O237)</f>
        <v>140.87676032581294</v>
      </c>
    </row>
    <row r="240" spans="2:15" s="76" customFormat="1" ht="12.95" customHeight="1" x14ac:dyDescent="0.2">
      <c r="B240" s="24" t="s">
        <v>79</v>
      </c>
    </row>
    <row r="241" spans="1:15" ht="12.95" customHeight="1" x14ac:dyDescent="0.2">
      <c r="B241" s="1" t="str">
        <f>+B159</f>
        <v>Revolving Credit Facility</v>
      </c>
      <c r="K241" s="16">
        <f ca="1">+K255</f>
        <v>0</v>
      </c>
      <c r="L241" s="16">
        <f ca="1">+L255</f>
        <v>0</v>
      </c>
      <c r="M241" s="16">
        <f ca="1">+M255</f>
        <v>0</v>
      </c>
      <c r="N241" s="16">
        <f ca="1">+N255</f>
        <v>0</v>
      </c>
      <c r="O241" s="16">
        <f ca="1">+O255</f>
        <v>0</v>
      </c>
    </row>
    <row r="242" spans="1:15" ht="12.95" customHeight="1" x14ac:dyDescent="0.2">
      <c r="B242" s="1" t="str">
        <f>+B160</f>
        <v>First Lien Term Loan</v>
      </c>
      <c r="K242" s="16">
        <f ca="1">+K269</f>
        <v>-67.897452753671487</v>
      </c>
      <c r="L242" s="16">
        <f ca="1">+L269</f>
        <v>-79.986321684404743</v>
      </c>
      <c r="M242" s="16">
        <f ca="1">+M269</f>
        <v>-97.238656007396401</v>
      </c>
      <c r="N242" s="16">
        <f ca="1">+N269</f>
        <v>-113.10104235452724</v>
      </c>
      <c r="O242" s="16">
        <f ca="1">+O269</f>
        <v>0</v>
      </c>
    </row>
    <row r="243" spans="1:15" ht="12.95" customHeight="1" x14ac:dyDescent="0.2">
      <c r="B243" s="1" t="str">
        <f>+B161</f>
        <v>Second Lien Term Loan</v>
      </c>
      <c r="K243" s="16">
        <f ca="1">+K280</f>
        <v>0</v>
      </c>
      <c r="L243" s="16">
        <f ca="1">+L280</f>
        <v>0</v>
      </c>
      <c r="M243" s="16">
        <f ca="1">+M280</f>
        <v>0</v>
      </c>
      <c r="N243" s="16">
        <f ca="1">+N280</f>
        <v>-3.2389322745083291</v>
      </c>
      <c r="O243" s="16">
        <f ca="1">+O280</f>
        <v>-140.87676032581294</v>
      </c>
    </row>
    <row r="244" spans="1:15" ht="12.95" customHeight="1" x14ac:dyDescent="0.2">
      <c r="B244" s="3" t="str">
        <f>+B162</f>
        <v>Notes</v>
      </c>
      <c r="C244" s="3"/>
      <c r="D244" s="3"/>
      <c r="E244" s="3"/>
      <c r="F244" s="3"/>
      <c r="G244" s="3"/>
      <c r="H244" s="3"/>
      <c r="I244" s="3"/>
      <c r="J244" s="3"/>
      <c r="K244" s="66">
        <f ca="1">+K290</f>
        <v>0</v>
      </c>
      <c r="L244" s="66">
        <f ca="1">+L290</f>
        <v>0</v>
      </c>
      <c r="M244" s="66">
        <f ca="1">+M290</f>
        <v>0</v>
      </c>
      <c r="N244" s="66">
        <f ca="1">+N290</f>
        <v>0</v>
      </c>
      <c r="O244" s="66">
        <f ca="1">+O290</f>
        <v>0</v>
      </c>
    </row>
    <row r="245" spans="1:15" s="76" customFormat="1" ht="12.95" customHeight="1" x14ac:dyDescent="0.2">
      <c r="B245" s="69" t="s">
        <v>80</v>
      </c>
      <c r="C245" s="69"/>
      <c r="D245" s="69"/>
      <c r="E245" s="69"/>
      <c r="F245" s="69"/>
      <c r="G245" s="69"/>
      <c r="H245" s="69"/>
      <c r="I245" s="69"/>
      <c r="J245" s="69"/>
      <c r="K245" s="71">
        <f ca="1">SUM(K241:K244)</f>
        <v>-67.897452753671487</v>
      </c>
      <c r="L245" s="71">
        <f ca="1">SUM(L241:L244)</f>
        <v>-79.986321684404743</v>
      </c>
      <c r="M245" s="71">
        <f ca="1">SUM(M241:M244)</f>
        <v>-97.238656007396401</v>
      </c>
      <c r="N245" s="71">
        <f ca="1">SUM(N241:N244)</f>
        <v>-116.33997462903557</v>
      </c>
      <c r="O245" s="71">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206"/>
      <c r="M249" s="206"/>
      <c r="N249" s="206"/>
      <c r="O249" s="206"/>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13">
        <v>0.02</v>
      </c>
      <c r="L251" s="214">
        <f>+K251</f>
        <v>0.02</v>
      </c>
      <c r="M251" s="214">
        <f>+L251</f>
        <v>0.02</v>
      </c>
      <c r="N251" s="214">
        <f>+M251</f>
        <v>0.02</v>
      </c>
      <c r="O251" s="214">
        <f>+N251</f>
        <v>0.02</v>
      </c>
    </row>
    <row r="252" spans="1:15" s="4" customFormat="1" ht="12.95" customHeight="1" x14ac:dyDescent="0.2">
      <c r="K252" s="118"/>
      <c r="L252" s="118"/>
      <c r="M252" s="118"/>
      <c r="N252" s="118"/>
      <c r="O252" s="118"/>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15">
        <f>+J159</f>
        <v>0</v>
      </c>
      <c r="L254" s="54">
        <f ca="1">+K256</f>
        <v>0</v>
      </c>
      <c r="M254" s="54">
        <f ca="1">+L256</f>
        <v>0</v>
      </c>
      <c r="N254" s="54">
        <f ca="1">+M256</f>
        <v>0</v>
      </c>
      <c r="O254" s="54">
        <f ca="1">+N256</f>
        <v>0</v>
      </c>
    </row>
    <row r="255" spans="1:15" ht="12.95" customHeight="1" x14ac:dyDescent="0.2">
      <c r="B255" s="3" t="s">
        <v>94</v>
      </c>
      <c r="C255" s="3"/>
      <c r="D255" s="3"/>
      <c r="E255" s="3"/>
      <c r="F255" s="3"/>
      <c r="G255" s="3"/>
      <c r="H255" s="3"/>
      <c r="I255" s="3"/>
      <c r="J255" s="3"/>
      <c r="K255" s="66">
        <f ca="1">-MIN(K238,K254)</f>
        <v>0</v>
      </c>
      <c r="L255" s="66">
        <f ca="1">-MIN(L238,L254)</f>
        <v>0</v>
      </c>
      <c r="M255" s="66">
        <f ca="1">-MIN(M238,M254)</f>
        <v>0</v>
      </c>
      <c r="N255" s="66">
        <f ca="1">-MIN(N238,N254)</f>
        <v>0</v>
      </c>
      <c r="O255" s="66">
        <f ca="1">-MIN(O238,O254)</f>
        <v>0</v>
      </c>
    </row>
    <row r="256" spans="1:15" ht="12.95" customHeight="1" x14ac:dyDescent="0.2">
      <c r="B256" s="69" t="s">
        <v>192</v>
      </c>
      <c r="C256" s="69"/>
      <c r="D256" s="69"/>
      <c r="E256" s="69"/>
      <c r="F256" s="69"/>
      <c r="G256" s="69"/>
      <c r="H256" s="69"/>
      <c r="I256" s="69"/>
      <c r="J256" s="69"/>
      <c r="K256" s="71">
        <f ca="1">SUM(K254:K255)</f>
        <v>0</v>
      </c>
      <c r="L256" s="71">
        <f ca="1">SUM(L254:L255)</f>
        <v>0</v>
      </c>
      <c r="M256" s="71">
        <f ca="1">SUM(M254:M255)</f>
        <v>0</v>
      </c>
      <c r="N256" s="71">
        <f ca="1">SUM(N254:N255)</f>
        <v>0</v>
      </c>
      <c r="O256" s="71">
        <f ca="1">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 ca="1">+AVERAGE(K254,K256)</f>
        <v>0</v>
      </c>
      <c r="L258" s="35">
        <f ca="1">+AVERAGE(L254,L256)</f>
        <v>0</v>
      </c>
      <c r="M258" s="35">
        <f ca="1">+AVERAGE(M254,M256)</f>
        <v>0</v>
      </c>
      <c r="N258" s="35">
        <f ca="1">+AVERAGE(N254,N256)</f>
        <v>0</v>
      </c>
      <c r="O258" s="35">
        <f ca="1">+AVERAGE(O254,O256)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f ca="1">+IF($E$5=1,K258,0)*K259</f>
        <v>0</v>
      </c>
      <c r="L260" s="54">
        <f ca="1">+IF($E$5=1,L258,0)*L259</f>
        <v>0</v>
      </c>
      <c r="M260" s="54">
        <f ca="1">+IF($E$5=1,M258,0)*M259</f>
        <v>0</v>
      </c>
      <c r="N260" s="54">
        <f ca="1">+IF($E$5=1,N258,0)*N259</f>
        <v>0</v>
      </c>
      <c r="O260" s="54">
        <f ca="1">+IF($E$5=1,O258,0)*O259</f>
        <v>0</v>
      </c>
    </row>
    <row r="261" spans="2:15" s="4" customFormat="1" ht="12.95" customHeight="1" x14ac:dyDescent="0.2">
      <c r="B261" s="4" t="s">
        <v>158</v>
      </c>
      <c r="G261" s="4" t="s">
        <v>147</v>
      </c>
      <c r="I261" s="218">
        <v>25</v>
      </c>
      <c r="K261" s="15">
        <f ca="1">+IF($E$5=1,($I$258-K258),0)*$I$261/10000</f>
        <v>0.25</v>
      </c>
      <c r="L261" s="15">
        <f ca="1">+IF($E$5=1,($I$258-L258),0)*$I$261/10000</f>
        <v>0.25</v>
      </c>
      <c r="M261" s="15">
        <f ca="1">+IF($E$5=1,($I$258-M258),0)*$I$261/10000</f>
        <v>0.25</v>
      </c>
      <c r="N261" s="15">
        <f ca="1">+IF($E$5=1,($I$258-N258),0)*$I$261/10000</f>
        <v>0.25</v>
      </c>
      <c r="O261" s="15">
        <f ca="1">+IF($E$5=1,($I$258-O258),0)*$I$261/10000</f>
        <v>0.25</v>
      </c>
    </row>
    <row r="262" spans="2:15" s="4" customFormat="1" ht="3" customHeight="1" x14ac:dyDescent="0.2">
      <c r="B262" s="3"/>
      <c r="C262" s="3"/>
      <c r="D262" s="3"/>
      <c r="E262" s="3"/>
      <c r="F262" s="3"/>
      <c r="G262" s="3"/>
      <c r="H262" s="3"/>
      <c r="I262" s="3"/>
      <c r="J262" s="3"/>
      <c r="K262" s="3"/>
      <c r="L262" s="3"/>
      <c r="M262" s="3"/>
      <c r="N262" s="3"/>
      <c r="O262" s="3"/>
    </row>
    <row r="263" spans="2:15" ht="12.95" hidden="1" customHeight="1" outlineLevel="1" x14ac:dyDescent="0.2"/>
    <row r="264" spans="2:15" ht="12.95" hidden="1" customHeight="1" outlineLevel="1" x14ac:dyDescent="0.2">
      <c r="B264" s="1" t="s">
        <v>148</v>
      </c>
      <c r="K264" s="14">
        <f ca="1">+IF(K256&gt;$I$258,1,0)</f>
        <v>0</v>
      </c>
      <c r="L264" s="14">
        <f ca="1">+IF(L256&gt;$I$258,1,0)</f>
        <v>0</v>
      </c>
      <c r="M264" s="14">
        <f ca="1">+IF(M256&gt;$I$258,1,0)</f>
        <v>0</v>
      </c>
      <c r="N264" s="14">
        <f ca="1">+IF(N256&gt;$I$258,1,0)</f>
        <v>0</v>
      </c>
      <c r="O264" s="14">
        <f ca="1">+IF(O256&gt;$I$258,1,0)</f>
        <v>0</v>
      </c>
    </row>
    <row r="265" spans="2:15" ht="12.95" customHeight="1" collapsed="1" x14ac:dyDescent="0.2"/>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 ca="1">+K270</f>
        <v>313.68842044632839</v>
      </c>
      <c r="M267" s="54">
        <f ca="1">+L270</f>
        <v>225.91463196192365</v>
      </c>
      <c r="N267" s="54">
        <f ca="1">+M270</f>
        <v>120.88850915452724</v>
      </c>
      <c r="O267" s="54">
        <f ca="1">+N270</f>
        <v>0</v>
      </c>
    </row>
    <row r="268" spans="2:15" s="4" customFormat="1" ht="12.95" customHeight="1" x14ac:dyDescent="0.2">
      <c r="B268" s="33" t="s">
        <v>92</v>
      </c>
      <c r="G268" s="4" t="s">
        <v>97</v>
      </c>
      <c r="I268" s="219">
        <v>0.02</v>
      </c>
      <c r="K268" s="35">
        <f>-MIN($K$267*$I$268,K267)</f>
        <v>-7.787466799999998</v>
      </c>
      <c r="L268" s="35">
        <f ca="1">-MIN($K$267*$I$268,L267)</f>
        <v>-7.787466799999998</v>
      </c>
      <c r="M268" s="35">
        <f ca="1">-MIN($K$267*$I$268,M267)</f>
        <v>-7.787466799999998</v>
      </c>
      <c r="N268" s="35">
        <f ca="1">-MIN($K$267*$I$268,N267)</f>
        <v>-7.787466799999998</v>
      </c>
      <c r="O268" s="35">
        <f ca="1">-MIN($K$267*$I$268,O267)</f>
        <v>0</v>
      </c>
    </row>
    <row r="269" spans="2:15" ht="12.95" customHeight="1" x14ac:dyDescent="0.2">
      <c r="B269" s="3" t="s">
        <v>89</v>
      </c>
      <c r="C269" s="3"/>
      <c r="D269" s="3"/>
      <c r="E269" s="3"/>
      <c r="F269" s="3"/>
      <c r="G269" s="3"/>
      <c r="H269" s="3"/>
      <c r="I269" s="3"/>
      <c r="J269" s="3"/>
      <c r="K269" s="66">
        <f ca="1">-MIN(SUM(K267:K268),SUM(K238:K241))</f>
        <v>-67.897452753671487</v>
      </c>
      <c r="L269" s="66">
        <f ca="1">-MIN(SUM(L267:L268),SUM(L238:L241))</f>
        <v>-79.986321684404743</v>
      </c>
      <c r="M269" s="66">
        <f ca="1">-MIN(SUM(M267:M268),SUM(M238:M241))</f>
        <v>-97.238656007396401</v>
      </c>
      <c r="N269" s="66">
        <f ca="1">-MIN(SUM(N267:N268),SUM(N238:N241))</f>
        <v>-113.10104235452724</v>
      </c>
      <c r="O269" s="66">
        <f ca="1">-MIN(SUM(O267:O268),SUM(O238:O241))</f>
        <v>0</v>
      </c>
    </row>
    <row r="270" spans="2:15" ht="12.95" customHeight="1" x14ac:dyDescent="0.2">
      <c r="B270" s="69" t="s">
        <v>192</v>
      </c>
      <c r="C270" s="69"/>
      <c r="D270" s="69"/>
      <c r="E270" s="69"/>
      <c r="F270" s="69"/>
      <c r="G270" s="69"/>
      <c r="H270" s="4"/>
      <c r="I270" s="69"/>
      <c r="J270" s="69"/>
      <c r="K270" s="71">
        <f ca="1">SUM(K267:K269)</f>
        <v>313.68842044632839</v>
      </c>
      <c r="L270" s="71">
        <f ca="1">SUM(L267:L269)</f>
        <v>225.91463196192365</v>
      </c>
      <c r="M270" s="71">
        <f ca="1">SUM(M267:M269)</f>
        <v>120.88850915452724</v>
      </c>
      <c r="N270" s="71">
        <f ca="1">SUM(N267:N269)</f>
        <v>0</v>
      </c>
      <c r="O270" s="71">
        <f ca="1">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 ca="1">+AVERAGE(K267,K270)</f>
        <v>351.5308802231641</v>
      </c>
      <c r="L272" s="16">
        <f ca="1">+AVERAGE(L267,L270)</f>
        <v>269.80152620412605</v>
      </c>
      <c r="M272" s="16">
        <f ca="1">+AVERAGE(M267,M270)</f>
        <v>173.40157055822544</v>
      </c>
      <c r="N272" s="16">
        <f ca="1">+AVERAGE(N267,N270)</f>
        <v>60.444254577263621</v>
      </c>
      <c r="O272" s="16">
        <f ca="1">+AVERAGE(O267,O270)</f>
        <v>0</v>
      </c>
    </row>
    <row r="273" spans="2:15"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f ca="1">+IF($E$5=1,K272,0)*K273</f>
        <v>19.334198412274027</v>
      </c>
      <c r="L274" s="54">
        <f ca="1">+IF($E$5=1,L272,0)*L273</f>
        <v>14.839083941226935</v>
      </c>
      <c r="M274" s="54">
        <f ca="1">+IF($E$5=1,M272,0)*M273</f>
        <v>9.5370863807024016</v>
      </c>
      <c r="N274" s="54">
        <f ca="1">+IF($E$5=1,N272,0)*N273</f>
        <v>3.3244340017494998</v>
      </c>
      <c r="O274" s="54">
        <f ca="1">+IF($E$5=1,O272,0)*O273</f>
        <v>0</v>
      </c>
    </row>
    <row r="275" spans="2:15" s="4" customFormat="1" ht="3"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20">
        <f>+J161</f>
        <v>194.68666999999994</v>
      </c>
      <c r="L278" s="54">
        <f ca="1">+K281</f>
        <v>210.91055916666659</v>
      </c>
      <c r="M278" s="54">
        <f t="shared" ref="M278:O278" ca="1" si="54">+L281</f>
        <v>228.48643909722213</v>
      </c>
      <c r="N278" s="54">
        <f t="shared" ca="1" si="54"/>
        <v>247.5269756886573</v>
      </c>
      <c r="O278" s="54">
        <f t="shared" ca="1" si="54"/>
        <v>264.78033587676589</v>
      </c>
    </row>
    <row r="279" spans="2:15" s="4" customFormat="1" ht="12.95" customHeight="1" x14ac:dyDescent="0.2">
      <c r="B279" s="4" t="s">
        <v>109</v>
      </c>
      <c r="K279" s="222">
        <f ca="1">+IF($E$5=1,K283,0)*K284*$I$283</f>
        <v>16.223889166666662</v>
      </c>
      <c r="L279" s="62">
        <f ca="1">+IF($E$5=1,L283,0)*L284*$I$283</f>
        <v>17.575879930555548</v>
      </c>
      <c r="M279" s="62">
        <f ca="1">+IF($E$5=1,M283,0)*M284*$I$283</f>
        <v>19.040536591435178</v>
      </c>
      <c r="N279" s="62">
        <f ca="1">+IF($E$5=1,N283,0)*N284*$I$283</f>
        <v>20.49229246261693</v>
      </c>
      <c r="O279" s="62">
        <f ca="1">+IF($E$5=1,O283,0)*O284*$I$283</f>
        <v>16.195162976154954</v>
      </c>
    </row>
    <row r="280" spans="2:15" s="4" customFormat="1" ht="12.95" customHeight="1" x14ac:dyDescent="0.2">
      <c r="B280" s="3" t="s">
        <v>89</v>
      </c>
      <c r="C280" s="3"/>
      <c r="D280" s="3"/>
      <c r="E280" s="3"/>
      <c r="F280" s="3"/>
      <c r="G280" s="3"/>
      <c r="H280" s="3"/>
      <c r="I280" s="3"/>
      <c r="J280" s="3"/>
      <c r="K280" s="66">
        <f ca="1">-MIN(SUM(K278:K279),SUM(K238:K242))</f>
        <v>0</v>
      </c>
      <c r="L280" s="66">
        <f ca="1">-MIN(SUM(L278:L279),SUM(L238:L242))</f>
        <v>0</v>
      </c>
      <c r="M280" s="66">
        <f ca="1">-MIN(SUM(M278:M279),SUM(M238:M242))</f>
        <v>0</v>
      </c>
      <c r="N280" s="66">
        <f ca="1">-MIN(SUM(N278:N279),SUM(N238:N242))</f>
        <v>-3.2389322745083291</v>
      </c>
      <c r="O280" s="66">
        <f ca="1">-MIN(SUM(O278:O279),SUM(O238:O242))</f>
        <v>-140.87676032581294</v>
      </c>
    </row>
    <row r="281" spans="2:15" s="4" customFormat="1" ht="12.95" customHeight="1" x14ac:dyDescent="0.2">
      <c r="B281" s="69" t="s">
        <v>192</v>
      </c>
      <c r="C281" s="69"/>
      <c r="D281" s="69"/>
      <c r="E281" s="69"/>
      <c r="F281" s="69"/>
      <c r="G281" s="69"/>
      <c r="I281" s="69"/>
      <c r="J281" s="69"/>
      <c r="K281" s="71">
        <f ca="1">SUM(K278:K280)</f>
        <v>210.91055916666659</v>
      </c>
      <c r="L281" s="71">
        <f ca="1">SUM(L278:L280)</f>
        <v>228.48643909722213</v>
      </c>
      <c r="M281" s="71">
        <f ca="1">SUM(M278:M280)</f>
        <v>247.5269756886573</v>
      </c>
      <c r="N281" s="71">
        <f ca="1">SUM(N278:N280)</f>
        <v>264.78033587676589</v>
      </c>
      <c r="O281" s="71">
        <f ca="1">SUM(O278:O280)</f>
        <v>140.09873852710791</v>
      </c>
    </row>
    <row r="282" spans="2:15" ht="12.95" customHeight="1" x14ac:dyDescent="0.2">
      <c r="B282" s="69"/>
      <c r="C282" s="69"/>
      <c r="D282" s="69"/>
      <c r="E282" s="69"/>
      <c r="F282" s="69"/>
      <c r="G282" s="69"/>
      <c r="H282" s="4"/>
      <c r="I282" s="69"/>
      <c r="J282" s="69"/>
      <c r="K282" s="154"/>
      <c r="L282" s="154"/>
      <c r="M282" s="154"/>
      <c r="N282" s="154"/>
      <c r="O282" s="154"/>
    </row>
    <row r="283" spans="2:15" ht="12.95" customHeight="1" x14ac:dyDescent="0.2">
      <c r="B283" s="1" t="s">
        <v>91</v>
      </c>
      <c r="G283" s="1" t="s">
        <v>110</v>
      </c>
      <c r="I283" s="223">
        <v>1</v>
      </c>
      <c r="K283" s="16">
        <f ca="1">+AVERAGE(K278,K281)</f>
        <v>202.79861458333326</v>
      </c>
      <c r="L283" s="16">
        <f ca="1">+AVERAGE(L278,L281)</f>
        <v>219.69849913194435</v>
      </c>
      <c r="M283" s="16">
        <f ca="1">+AVERAGE(M278,M281)</f>
        <v>238.00670739293972</v>
      </c>
      <c r="N283" s="16">
        <f ca="1">+AVERAGE(N278,N281)</f>
        <v>256.15365578271161</v>
      </c>
      <c r="O283" s="16">
        <f ca="1">+AVERAGE(O278,O281)</f>
        <v>202.4395372019369</v>
      </c>
    </row>
    <row r="284" spans="2:15"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f ca="1">+IF($E$5=1,K283,0)*K284*(1-$I$283)</f>
        <v>0</v>
      </c>
      <c r="L285" s="54">
        <f ca="1">+IF($E$5=1,L283,0)*L284*(1-$I$283)</f>
        <v>0</v>
      </c>
      <c r="M285" s="54">
        <f ca="1">+IF($E$5=1,M283,0)*M284*(1-$I$283)</f>
        <v>0</v>
      </c>
      <c r="N285" s="54">
        <f ca="1">+IF($E$5=1,N283,0)*N284*(1-$I$283)</f>
        <v>0</v>
      </c>
      <c r="O285" s="54">
        <f ca="1">+IF($E$5=1,O283,0)*O284*(1-$I$283)</f>
        <v>0</v>
      </c>
    </row>
    <row r="286" spans="2:15" s="4" customFormat="1" ht="3"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5" s="4" customFormat="1" ht="12.95" customHeight="1" x14ac:dyDescent="0.2">
      <c r="B289" s="4" t="s">
        <v>93</v>
      </c>
      <c r="K289" s="215">
        <f>+J162</f>
        <v>486.71667499999984</v>
      </c>
      <c r="L289" s="54">
        <f ca="1">+K291</f>
        <v>486.71667499999984</v>
      </c>
      <c r="M289" s="54">
        <f ca="1">+L291</f>
        <v>486.71667499999984</v>
      </c>
      <c r="N289" s="54">
        <f ca="1">+M291</f>
        <v>486.71667499999984</v>
      </c>
      <c r="O289" s="54">
        <f ca="1">+N291</f>
        <v>486.71667499999984</v>
      </c>
    </row>
    <row r="290" spans="1:15" ht="12.95" customHeight="1" x14ac:dyDescent="0.2">
      <c r="B290" s="3" t="s">
        <v>98</v>
      </c>
      <c r="C290" s="3"/>
      <c r="D290" s="3"/>
      <c r="E290" s="3"/>
      <c r="F290" s="3"/>
      <c r="G290" s="3" t="s">
        <v>99</v>
      </c>
      <c r="H290" s="133"/>
      <c r="I290" s="224">
        <v>2026</v>
      </c>
      <c r="J290" s="3"/>
      <c r="K290" s="66">
        <f ca="1">-MIN(K289,SUM(K238:K243))*IF($I$290=K$250,1,0)</f>
        <v>0</v>
      </c>
      <c r="L290" s="66">
        <f t="shared" ref="L290:O290" ca="1" si="55">-MIN(L289,SUM(L238:L243))*IF($I$290=L$250,1,0)</f>
        <v>0</v>
      </c>
      <c r="M290" s="66">
        <f t="shared" ca="1" si="55"/>
        <v>0</v>
      </c>
      <c r="N290" s="66">
        <f t="shared" ca="1" si="55"/>
        <v>0</v>
      </c>
      <c r="O290" s="66">
        <f t="shared" ca="1" si="55"/>
        <v>0</v>
      </c>
    </row>
    <row r="291" spans="1:15" ht="12.95" customHeight="1" x14ac:dyDescent="0.2">
      <c r="B291" s="69" t="s">
        <v>192</v>
      </c>
      <c r="C291" s="69"/>
      <c r="D291" s="69"/>
      <c r="E291" s="69"/>
      <c r="F291" s="69"/>
      <c r="G291" s="69"/>
      <c r="H291" s="4"/>
      <c r="I291" s="69"/>
      <c r="J291" s="69"/>
      <c r="K291" s="71">
        <f ca="1">SUM(K289:K290)</f>
        <v>486.71667499999984</v>
      </c>
      <c r="L291" s="71">
        <f ca="1">SUM(L289:L290)</f>
        <v>486.71667499999984</v>
      </c>
      <c r="M291" s="71">
        <f ca="1">SUM(M289:M290)</f>
        <v>486.71667499999984</v>
      </c>
      <c r="N291" s="71">
        <f ca="1">SUM(N289:N290)</f>
        <v>486.71667499999984</v>
      </c>
      <c r="O291" s="71">
        <f ca="1">SUM(O289:O290)</f>
        <v>486.71667499999984</v>
      </c>
    </row>
    <row r="292" spans="1:15" ht="12.95" customHeight="1" x14ac:dyDescent="0.2">
      <c r="B292" s="69"/>
      <c r="C292" s="69"/>
      <c r="D292" s="69"/>
      <c r="E292" s="69"/>
      <c r="F292" s="69"/>
      <c r="G292" s="69"/>
      <c r="H292" s="4"/>
      <c r="I292" s="69"/>
      <c r="J292" s="69"/>
      <c r="K292" s="69"/>
      <c r="L292" s="69"/>
      <c r="M292" s="69"/>
      <c r="N292" s="69"/>
      <c r="O292" s="69"/>
    </row>
    <row r="293" spans="1:15" ht="12.95" customHeight="1" x14ac:dyDescent="0.2">
      <c r="B293" s="1" t="s">
        <v>91</v>
      </c>
      <c r="K293" s="16">
        <f ca="1">+AVERAGE(K289,K291)</f>
        <v>486.71667499999984</v>
      </c>
      <c r="L293" s="16">
        <f ca="1">+AVERAGE(L289,L291)</f>
        <v>486.71667499999984</v>
      </c>
      <c r="M293" s="16">
        <f ca="1">+AVERAGE(M289,M291)</f>
        <v>486.71667499999984</v>
      </c>
      <c r="N293" s="16">
        <f ca="1">+AVERAGE(N289,N291)</f>
        <v>486.71667499999984</v>
      </c>
      <c r="O293" s="16">
        <f ca="1">+AVERAGE(O289,O291)</f>
        <v>486.71667499999984</v>
      </c>
    </row>
    <row r="294" spans="1:15" s="4" customFormat="1" ht="12.95" customHeight="1" x14ac:dyDescent="0.2">
      <c r="B294" s="4" t="s">
        <v>21</v>
      </c>
      <c r="G294" s="4" t="s">
        <v>111</v>
      </c>
      <c r="I294" s="225">
        <v>0.1</v>
      </c>
      <c r="K294" s="54">
        <f ca="1">+IF($E$5=1,K293,0)*$I$294</f>
        <v>48.671667499999984</v>
      </c>
      <c r="L294" s="54">
        <f ca="1">+IF($E$5=1,L293,0)*$I$294</f>
        <v>48.671667499999984</v>
      </c>
      <c r="M294" s="54">
        <f ca="1">+IF($E$5=1,M293,0)*$I$294</f>
        <v>48.671667499999984</v>
      </c>
      <c r="N294" s="54">
        <f ca="1">+IF($E$5=1,N293,0)*$I$294</f>
        <v>48.671667499999984</v>
      </c>
      <c r="O294" s="54">
        <f ca="1">+IF($E$5=1,O293,0)*$I$294</f>
        <v>48.671667499999984</v>
      </c>
    </row>
    <row r="295" spans="1:15" s="4" customFormat="1" ht="3"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206"/>
      <c r="M299" s="206"/>
      <c r="N299" s="206"/>
      <c r="O299" s="206"/>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54">
        <f>+J139</f>
        <v>0</v>
      </c>
      <c r="L301" s="54">
        <f ca="1">+K139</f>
        <v>5</v>
      </c>
      <c r="M301" s="54">
        <f ca="1">+L139</f>
        <v>5</v>
      </c>
      <c r="N301" s="54">
        <f ca="1">+M139</f>
        <v>5</v>
      </c>
      <c r="O301" s="54">
        <f ca="1">+N139</f>
        <v>5</v>
      </c>
    </row>
    <row r="302" spans="1:15" s="4" customFormat="1" ht="12.95" customHeight="1" x14ac:dyDescent="0.2">
      <c r="B302" s="3" t="s">
        <v>106</v>
      </c>
      <c r="C302" s="3"/>
      <c r="D302" s="3"/>
      <c r="E302" s="3"/>
      <c r="F302" s="3"/>
      <c r="G302" s="3"/>
      <c r="H302" s="3"/>
      <c r="I302" s="3"/>
      <c r="J302" s="3"/>
      <c r="K302" s="66">
        <f ca="1">+K303-K301</f>
        <v>5</v>
      </c>
      <c r="L302" s="66">
        <f ca="1">+L303-L301</f>
        <v>0</v>
      </c>
      <c r="M302" s="66">
        <f ca="1">+M303-M301</f>
        <v>0</v>
      </c>
      <c r="N302" s="66">
        <f ca="1">+N303-N301</f>
        <v>0</v>
      </c>
      <c r="O302" s="66">
        <f ca="1">+O303-O301</f>
        <v>0</v>
      </c>
    </row>
    <row r="303" spans="1:15" s="69" customFormat="1" ht="12.95" customHeight="1" x14ac:dyDescent="0.2">
      <c r="B303" s="69" t="s">
        <v>192</v>
      </c>
      <c r="K303" s="71">
        <f ca="1">+K139</f>
        <v>5</v>
      </c>
      <c r="L303" s="71">
        <f ca="1">+L139</f>
        <v>5</v>
      </c>
      <c r="M303" s="71">
        <f ca="1">+M139</f>
        <v>5</v>
      </c>
      <c r="N303" s="71">
        <f ca="1">+N139</f>
        <v>5</v>
      </c>
      <c r="O303" s="71">
        <f ca="1">+O139</f>
        <v>5</v>
      </c>
    </row>
    <row r="304" spans="1:15" s="4" customFormat="1" ht="12.95" customHeight="1" x14ac:dyDescent="0.2"/>
    <row r="305" spans="1:15" ht="12.95" customHeight="1" x14ac:dyDescent="0.2">
      <c r="B305" s="4" t="s">
        <v>91</v>
      </c>
      <c r="C305" s="4"/>
      <c r="D305" s="4"/>
      <c r="E305" s="4"/>
      <c r="F305" s="4"/>
      <c r="G305" s="4"/>
      <c r="H305" s="4"/>
      <c r="I305" s="4"/>
      <c r="J305" s="4"/>
      <c r="K305" s="35">
        <f ca="1">+AVERAGE(K301,K303)</f>
        <v>2.5</v>
      </c>
      <c r="L305" s="35">
        <f ca="1">+AVERAGE(L301,L303)</f>
        <v>5</v>
      </c>
      <c r="M305" s="35">
        <f ca="1">+AVERAGE(M301,M303)</f>
        <v>5</v>
      </c>
      <c r="N305" s="35">
        <f ca="1">+AVERAGE(N301,N303)</f>
        <v>5</v>
      </c>
      <c r="O305" s="35">
        <f ca="1">+AVERAGE(O301,O303)</f>
        <v>5</v>
      </c>
    </row>
    <row r="306" spans="1:15" ht="12.95" customHeight="1" x14ac:dyDescent="0.2">
      <c r="B306" s="1" t="s">
        <v>107</v>
      </c>
      <c r="G306" s="85" t="s">
        <v>193</v>
      </c>
      <c r="H306" s="4"/>
      <c r="I306" s="225">
        <v>0.01</v>
      </c>
      <c r="K306" s="15">
        <f ca="1">+IF($E$5=1,K305,0)*$I$306</f>
        <v>2.5000000000000001E-2</v>
      </c>
      <c r="L306" s="15">
        <f ca="1">+IF($E$5=1,L305,0)*$I$306</f>
        <v>0.05</v>
      </c>
      <c r="M306" s="15">
        <f ca="1">+IF($E$5=1,M305,0)*$I$306</f>
        <v>0.05</v>
      </c>
      <c r="N306" s="15">
        <f ca="1">+IF($E$5=1,N305,0)*$I$306</f>
        <v>0.05</v>
      </c>
      <c r="O306" s="15">
        <f ca="1">+IF($E$5=1,O305,0)*$I$306</f>
        <v>0.05</v>
      </c>
    </row>
    <row r="307" spans="1:15" s="4" customFormat="1" ht="12.95" customHeight="1" x14ac:dyDescent="0.2">
      <c r="B307" s="3"/>
      <c r="C307" s="3"/>
      <c r="D307" s="3"/>
      <c r="E307" s="3"/>
      <c r="F307" s="3"/>
      <c r="G307" s="3"/>
      <c r="H307" s="3"/>
      <c r="I307" s="3"/>
      <c r="J307" s="3"/>
      <c r="K307" s="3"/>
      <c r="L307" s="3"/>
      <c r="M307" s="3"/>
      <c r="N307" s="3"/>
      <c r="O307" s="3"/>
    </row>
    <row r="309" spans="1:15" ht="12.95" customHeight="1" x14ac:dyDescent="0.2">
      <c r="B309" s="1" t="s">
        <v>197</v>
      </c>
    </row>
    <row r="310" spans="1:15" ht="12.95" customHeight="1" x14ac:dyDescent="0.2">
      <c r="B310" s="1" t="str">
        <f>+B253&amp;" - Commitment Fee"</f>
        <v>Revolving Credit Facility - Commitment Fee</v>
      </c>
      <c r="K310" s="15">
        <f ca="1">+K261</f>
        <v>0.25</v>
      </c>
      <c r="L310" s="15">
        <f ca="1">+L261</f>
        <v>0.25</v>
      </c>
      <c r="M310" s="15">
        <f ca="1">+M261</f>
        <v>0.25</v>
      </c>
      <c r="N310" s="15">
        <f ca="1">+N261</f>
        <v>0.25</v>
      </c>
      <c r="O310" s="15">
        <f ca="1">+O261</f>
        <v>0.25</v>
      </c>
    </row>
    <row r="311" spans="1:15" ht="12.95" customHeight="1" x14ac:dyDescent="0.2">
      <c r="B311" s="1" t="str">
        <f>+B253&amp;" - Drawn Interest Expense"</f>
        <v>Revolving Credit Facility - Drawn Interest Expense</v>
      </c>
      <c r="K311" s="16">
        <f ca="1">+K260</f>
        <v>0</v>
      </c>
      <c r="L311" s="16">
        <f ca="1">+L260</f>
        <v>0</v>
      </c>
      <c r="M311" s="16">
        <f ca="1">+M260</f>
        <v>0</v>
      </c>
      <c r="N311" s="16">
        <f ca="1">+N260</f>
        <v>0</v>
      </c>
      <c r="O311" s="16">
        <f ca="1">+O260</f>
        <v>0</v>
      </c>
    </row>
    <row r="312" spans="1:15" ht="12.95" customHeight="1" x14ac:dyDescent="0.2">
      <c r="B312" s="1" t="str">
        <f>+B266</f>
        <v>First Lien Term Loan</v>
      </c>
      <c r="K312" s="16">
        <f ca="1">+K274</f>
        <v>19.334198412274027</v>
      </c>
      <c r="L312" s="16">
        <f ca="1">+L274</f>
        <v>14.839083941226935</v>
      </c>
      <c r="M312" s="16">
        <f ca="1">+M274</f>
        <v>9.5370863807024016</v>
      </c>
      <c r="N312" s="16">
        <f ca="1">+N274</f>
        <v>3.3244340017494998</v>
      </c>
      <c r="O312" s="16">
        <f ca="1">+O274</f>
        <v>0</v>
      </c>
    </row>
    <row r="313" spans="1:15" ht="12.95" customHeight="1" x14ac:dyDescent="0.2">
      <c r="B313" s="1" t="str">
        <f>+B277</f>
        <v>Second Lien Term Loan</v>
      </c>
      <c r="K313" s="16">
        <f ca="1">+K285</f>
        <v>0</v>
      </c>
      <c r="L313" s="16">
        <f ca="1">+L285</f>
        <v>0</v>
      </c>
      <c r="M313" s="16">
        <f ca="1">+M285</f>
        <v>0</v>
      </c>
      <c r="N313" s="16">
        <f ca="1">+N285</f>
        <v>0</v>
      </c>
      <c r="O313" s="16">
        <f ca="1">+O285</f>
        <v>0</v>
      </c>
    </row>
    <row r="314" spans="1:15" ht="12.95" customHeight="1" x14ac:dyDescent="0.2">
      <c r="B314" s="4" t="str">
        <f>+B288</f>
        <v>Notes</v>
      </c>
      <c r="C314" s="4"/>
      <c r="D314" s="4"/>
      <c r="E314" s="4"/>
      <c r="F314" s="4"/>
      <c r="G314" s="4"/>
      <c r="H314" s="4"/>
      <c r="I314" s="4"/>
      <c r="J314" s="4"/>
      <c r="K314" s="35">
        <f ca="1">+K294</f>
        <v>48.671667499999984</v>
      </c>
      <c r="L314" s="35">
        <f ca="1">+L294</f>
        <v>48.671667499999984</v>
      </c>
      <c r="M314" s="35">
        <f ca="1">+M294</f>
        <v>48.671667499999984</v>
      </c>
      <c r="N314" s="35">
        <f ca="1">+N294</f>
        <v>48.671667499999984</v>
      </c>
      <c r="O314" s="35">
        <f ca="1">+O294</f>
        <v>48.671667499999984</v>
      </c>
    </row>
    <row r="315" spans="1:15" ht="12.95" customHeight="1" x14ac:dyDescent="0.2">
      <c r="B315" s="226" t="s">
        <v>112</v>
      </c>
      <c r="C315" s="226"/>
      <c r="D315" s="226"/>
      <c r="E315" s="226"/>
      <c r="F315" s="226"/>
      <c r="G315" s="226"/>
      <c r="H315" s="226"/>
      <c r="I315" s="226"/>
      <c r="J315" s="226"/>
      <c r="K315" s="37">
        <f ca="1">SUM(K310:K314)</f>
        <v>68.255865912274004</v>
      </c>
      <c r="L315" s="37">
        <f ca="1">SUM(L310:L314)</f>
        <v>63.760751441226915</v>
      </c>
      <c r="M315" s="37">
        <f ca="1">SUM(M310:M314)</f>
        <v>58.458753880702389</v>
      </c>
      <c r="N315" s="37">
        <f ca="1">SUM(N310:N314)</f>
        <v>52.246101501749486</v>
      </c>
      <c r="O315" s="37">
        <f ca="1">SUM(O310:O314)</f>
        <v>48.921667499999984</v>
      </c>
    </row>
    <row r="316" spans="1:15" ht="12.95" customHeight="1" x14ac:dyDescent="0.2">
      <c r="B316" s="3" t="s">
        <v>113</v>
      </c>
      <c r="C316" s="3"/>
      <c r="D316" s="3"/>
      <c r="E316" s="3"/>
      <c r="F316" s="3"/>
      <c r="G316" s="3"/>
      <c r="H316" s="3"/>
      <c r="I316" s="3"/>
      <c r="J316" s="3"/>
      <c r="K316" s="62">
        <f ca="1">+K279</f>
        <v>16.223889166666662</v>
      </c>
      <c r="L316" s="62">
        <f t="shared" ref="L316:O316" ca="1" si="56">+L279</f>
        <v>17.575879930555548</v>
      </c>
      <c r="M316" s="62">
        <f t="shared" ca="1" si="56"/>
        <v>19.040536591435178</v>
      </c>
      <c r="N316" s="62">
        <f t="shared" ca="1" si="56"/>
        <v>20.49229246261693</v>
      </c>
      <c r="O316" s="62">
        <f t="shared" ca="1" si="56"/>
        <v>16.195162976154954</v>
      </c>
    </row>
    <row r="317" spans="1:15" s="76" customFormat="1" ht="12.95" customHeight="1" x14ac:dyDescent="0.2">
      <c r="B317" s="69" t="s">
        <v>108</v>
      </c>
      <c r="C317" s="69"/>
      <c r="D317" s="69"/>
      <c r="E317" s="69"/>
      <c r="F317" s="69"/>
      <c r="G317" s="69"/>
      <c r="H317" s="69"/>
      <c r="I317" s="69"/>
      <c r="J317" s="69"/>
      <c r="K317" s="96">
        <f ca="1">+SUM(K315:K316)</f>
        <v>84.47975507894067</v>
      </c>
      <c r="L317" s="96">
        <f ca="1">+SUM(L315:L316)</f>
        <v>81.33663137178246</v>
      </c>
      <c r="M317" s="96">
        <f ca="1">+SUM(M315:M316)</f>
        <v>77.499290472137574</v>
      </c>
      <c r="N317" s="96">
        <f ca="1">+SUM(N315:N316)</f>
        <v>72.738393964366423</v>
      </c>
      <c r="O317" s="96">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5" ht="12.95" customHeight="1" x14ac:dyDescent="0.35">
      <c r="K321" s="10" t="str">
        <f>+$K$32</f>
        <v>Fiscal Year Ended 12/31</v>
      </c>
      <c r="L321" s="11"/>
      <c r="M321" s="11"/>
      <c r="N321" s="11"/>
      <c r="O321" s="11"/>
    </row>
    <row r="322" spans="2:15" ht="12.95" customHeight="1" x14ac:dyDescent="0.2">
      <c r="K322" s="13">
        <f>+K138</f>
        <v>2020</v>
      </c>
      <c r="L322" s="13">
        <f>+K322+1</f>
        <v>2021</v>
      </c>
      <c r="M322" s="13">
        <f>+L322+1</f>
        <v>2022</v>
      </c>
      <c r="N322" s="13">
        <f>+M322+1</f>
        <v>2023</v>
      </c>
      <c r="O322" s="13">
        <f>+N322+1</f>
        <v>2024</v>
      </c>
    </row>
    <row r="323" spans="2:15" ht="12.95" customHeight="1" x14ac:dyDescent="0.2">
      <c r="B323" s="1" t="s">
        <v>35</v>
      </c>
      <c r="K323" s="54">
        <f>+K120</f>
        <v>211.13616104999991</v>
      </c>
      <c r="L323" s="54">
        <f t="shared" ref="L323:O323" si="57">+L120</f>
        <v>231.22441616399993</v>
      </c>
      <c r="M323" s="54">
        <f t="shared" si="57"/>
        <v>253.09045980481494</v>
      </c>
      <c r="N323" s="54">
        <f t="shared" si="57"/>
        <v>276.88474991614049</v>
      </c>
      <c r="O323" s="54">
        <f t="shared" si="57"/>
        <v>302.770097390008</v>
      </c>
    </row>
    <row r="324" spans="2:15" ht="12.95" customHeight="1" x14ac:dyDescent="0.2">
      <c r="B324" s="4" t="s">
        <v>200</v>
      </c>
      <c r="C324" s="4"/>
      <c r="D324" s="4"/>
      <c r="E324" s="4"/>
      <c r="F324" s="4"/>
      <c r="G324" s="4"/>
      <c r="H324" s="4"/>
      <c r="I324" s="4"/>
      <c r="J324" s="4"/>
      <c r="K324" s="253">
        <f>+$M$19</f>
        <v>10</v>
      </c>
      <c r="L324" s="253">
        <f>+$M$19</f>
        <v>10</v>
      </c>
      <c r="M324" s="253">
        <f>+$M$19</f>
        <v>10</v>
      </c>
      <c r="N324" s="253">
        <f>+$M$19</f>
        <v>10</v>
      </c>
      <c r="O324" s="253">
        <f>+$M$19</f>
        <v>10</v>
      </c>
    </row>
    <row r="325" spans="2:15" ht="12.95" customHeight="1" x14ac:dyDescent="0.2">
      <c r="B325" s="226" t="s">
        <v>201</v>
      </c>
      <c r="C325" s="226"/>
      <c r="D325" s="226"/>
      <c r="E325" s="226"/>
      <c r="F325" s="226"/>
      <c r="G325" s="226"/>
      <c r="H325" s="226"/>
      <c r="I325" s="226"/>
      <c r="J325" s="226"/>
      <c r="K325" s="37">
        <f>+K323*K324</f>
        <v>2111.3616104999992</v>
      </c>
      <c r="L325" s="37">
        <f t="shared" ref="L325:O325" si="58">+L323*L324</f>
        <v>2312.2441616399992</v>
      </c>
      <c r="M325" s="37">
        <f t="shared" si="58"/>
        <v>2530.9045980481496</v>
      </c>
      <c r="N325" s="37">
        <f t="shared" si="58"/>
        <v>2768.8474991614048</v>
      </c>
      <c r="O325" s="37">
        <f t="shared" si="58"/>
        <v>3027.70097390008</v>
      </c>
    </row>
    <row r="326" spans="2:15" ht="12.95" customHeight="1" x14ac:dyDescent="0.2">
      <c r="B326" s="1" t="s">
        <v>202</v>
      </c>
      <c r="K326" s="16">
        <f ca="1">-K163</f>
        <v>-1011.3156546129949</v>
      </c>
      <c r="L326" s="16">
        <f t="shared" ref="L326:O326" ca="1" si="59">-L163</f>
        <v>-941.1177460591457</v>
      </c>
      <c r="M326" s="16">
        <f t="shared" ca="1" si="59"/>
        <v>-855.13215984318435</v>
      </c>
      <c r="N326" s="16">
        <f t="shared" ca="1" si="59"/>
        <v>-751.49701087676567</v>
      </c>
      <c r="O326" s="16">
        <f t="shared" ca="1" si="59"/>
        <v>-626.81541352710769</v>
      </c>
    </row>
    <row r="327" spans="2:15" ht="12.95" customHeight="1" x14ac:dyDescent="0.2">
      <c r="B327" s="4" t="s">
        <v>203</v>
      </c>
      <c r="C327" s="4"/>
      <c r="D327" s="4"/>
      <c r="E327" s="4"/>
      <c r="F327" s="4"/>
      <c r="G327" s="4"/>
      <c r="H327" s="4"/>
      <c r="I327" s="4"/>
      <c r="J327" s="4"/>
      <c r="K327" s="35">
        <f ca="1">+K139</f>
        <v>5</v>
      </c>
      <c r="L327" s="35">
        <f t="shared" ref="L327:O327" ca="1" si="60">+L139</f>
        <v>5</v>
      </c>
      <c r="M327" s="35">
        <f t="shared" ca="1" si="60"/>
        <v>5</v>
      </c>
      <c r="N327" s="35">
        <f t="shared" ca="1" si="60"/>
        <v>5</v>
      </c>
      <c r="O327" s="35">
        <f t="shared" ca="1" si="60"/>
        <v>5</v>
      </c>
    </row>
    <row r="328" spans="2:15" ht="12.95" customHeight="1" x14ac:dyDescent="0.2">
      <c r="B328" s="226" t="s">
        <v>204</v>
      </c>
      <c r="C328" s="226"/>
      <c r="D328" s="226"/>
      <c r="E328" s="226"/>
      <c r="F328" s="226"/>
      <c r="G328" s="226"/>
      <c r="H328" s="226"/>
      <c r="I328" s="226"/>
      <c r="J328" s="226"/>
      <c r="K328" s="37">
        <f ca="1">+SUM(K325:K327)</f>
        <v>1105.0459558870043</v>
      </c>
      <c r="L328" s="37">
        <f t="shared" ref="L328:O328" ca="1" si="61">+SUM(L325:L327)</f>
        <v>1376.1264155808535</v>
      </c>
      <c r="M328" s="37">
        <f t="shared" ca="1" si="61"/>
        <v>1680.7724382049653</v>
      </c>
      <c r="N328" s="37">
        <f t="shared" ca="1" si="61"/>
        <v>2022.3504882846391</v>
      </c>
      <c r="O328" s="37">
        <f t="shared" ca="1" si="61"/>
        <v>2405.8855603729726</v>
      </c>
    </row>
    <row r="329" spans="2:15" ht="12.95" customHeight="1" x14ac:dyDescent="0.2">
      <c r="B329" s="3" t="s">
        <v>336</v>
      </c>
      <c r="C329" s="3"/>
      <c r="D329" s="3"/>
      <c r="E329" s="3"/>
      <c r="F329" s="3"/>
      <c r="G329" s="3"/>
      <c r="H329" s="3"/>
      <c r="I329" s="3"/>
      <c r="J329" s="3"/>
      <c r="K329" s="66">
        <f>-$F$52</f>
        <v>-977.38021669999966</v>
      </c>
      <c r="L329" s="66">
        <f>-$F$52</f>
        <v>-977.38021669999966</v>
      </c>
      <c r="M329" s="66">
        <f>-$F$52</f>
        <v>-977.38021669999966</v>
      </c>
      <c r="N329" s="66">
        <f>-$F$52</f>
        <v>-977.38021669999966</v>
      </c>
      <c r="O329" s="66">
        <f>-$F$52</f>
        <v>-977.38021669999966</v>
      </c>
    </row>
    <row r="330" spans="2:15" ht="12.95" customHeight="1" x14ac:dyDescent="0.2">
      <c r="B330" s="69" t="s">
        <v>207</v>
      </c>
      <c r="C330" s="69"/>
      <c r="D330" s="69"/>
      <c r="E330" s="69"/>
      <c r="F330" s="69"/>
      <c r="G330" s="69"/>
      <c r="H330" s="69"/>
      <c r="I330" s="69"/>
      <c r="J330" s="69"/>
      <c r="K330" s="71">
        <f ca="1">+MAX(SUM(K328:K329),0)</f>
        <v>127.66573918700465</v>
      </c>
      <c r="L330" s="71">
        <f t="shared" ref="L330:O330" ca="1" si="62">+MAX(SUM(L328:L329),0)</f>
        <v>398.74619888085385</v>
      </c>
      <c r="M330" s="71">
        <f t="shared" ca="1" si="62"/>
        <v>703.39222150496562</v>
      </c>
      <c r="N330" s="71">
        <f t="shared" ca="1" si="62"/>
        <v>1044.9702715846395</v>
      </c>
      <c r="O330" s="71">
        <f t="shared" ca="1" si="62"/>
        <v>1428.5053436729729</v>
      </c>
    </row>
    <row r="332" spans="2:15" ht="12.95" customHeight="1" x14ac:dyDescent="0.2">
      <c r="F332" s="1" t="s">
        <v>205</v>
      </c>
      <c r="J332" s="250">
        <f>+M28</f>
        <v>0.1</v>
      </c>
      <c r="K332" s="15">
        <f ca="1">+K330*$J$332</f>
        <v>12.766573918700466</v>
      </c>
      <c r="L332" s="15">
        <f t="shared" ref="L332:O332" ca="1" si="63">+L330*$J$332</f>
        <v>39.874619888085391</v>
      </c>
      <c r="M332" s="15">
        <f t="shared" ca="1" si="63"/>
        <v>70.339222150496568</v>
      </c>
      <c r="N332" s="15">
        <f t="shared" ca="1" si="63"/>
        <v>104.49702715846395</v>
      </c>
      <c r="O332" s="15">
        <f t="shared" ca="1" si="63"/>
        <v>142.85053436729729</v>
      </c>
    </row>
    <row r="334" spans="2:15" ht="12.95" customHeight="1" x14ac:dyDescent="0.2">
      <c r="F334" s="1" t="s">
        <v>208</v>
      </c>
      <c r="K334" s="254">
        <f ca="1">+K328-K332</f>
        <v>1092.2793819683038</v>
      </c>
      <c r="L334" s="254">
        <f t="shared" ref="L334:O334" ca="1" si="64">+L328-L332</f>
        <v>1336.2517956927682</v>
      </c>
      <c r="M334" s="254">
        <f t="shared" ca="1" si="64"/>
        <v>1610.4332160544686</v>
      </c>
      <c r="N334" s="254">
        <f t="shared" ca="1" si="64"/>
        <v>1917.8534611261753</v>
      </c>
      <c r="O334" s="254">
        <f t="shared" ca="1" si="64"/>
        <v>2263.0350260056753</v>
      </c>
    </row>
    <row r="335" spans="2:15" customFormat="1" ht="3" customHeight="1" x14ac:dyDescent="0.25"/>
    <row r="336" spans="2:15"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f ca="1">+IRR(J338:O338)</f>
        <v>0.11755830873705064</v>
      </c>
      <c r="H338" s="259">
        <f ca="1">+SUM(K338:O338)/-J338</f>
        <v>1.1175583087370509</v>
      </c>
      <c r="J338" s="255">
        <f>-$F$52</f>
        <v>-977.38021669999966</v>
      </c>
      <c r="K338" s="256">
        <f t="shared" ref="K338:O342" ca="1" si="65">+IF(K$322=$F338,K$334,0)</f>
        <v>1092.2793819683038</v>
      </c>
      <c r="L338" s="256">
        <f t="shared" si="65"/>
        <v>0</v>
      </c>
      <c r="M338" s="256">
        <f t="shared" si="65"/>
        <v>0</v>
      </c>
      <c r="N338" s="256">
        <f t="shared" si="65"/>
        <v>0</v>
      </c>
      <c r="O338" s="257">
        <f t="shared" si="65"/>
        <v>0</v>
      </c>
    </row>
    <row r="339" spans="6:15" ht="12.95" customHeight="1" x14ac:dyDescent="0.2">
      <c r="F339" s="252">
        <v>2021</v>
      </c>
      <c r="G339" s="258">
        <f ca="1">+IRR(J339:O339)</f>
        <v>0.16926346225305466</v>
      </c>
      <c r="H339" s="259">
        <f ca="1">+SUM(K339:O339)/-J339</f>
        <v>1.3671770441645041</v>
      </c>
      <c r="J339" s="104">
        <f>-$F$52</f>
        <v>-977.38021669999966</v>
      </c>
      <c r="K339" s="16">
        <f t="shared" si="65"/>
        <v>0</v>
      </c>
      <c r="L339" s="16">
        <f t="shared" ca="1" si="65"/>
        <v>1336.2517956927682</v>
      </c>
      <c r="M339" s="16">
        <f t="shared" si="65"/>
        <v>0</v>
      </c>
      <c r="N339" s="16">
        <f t="shared" si="65"/>
        <v>0</v>
      </c>
      <c r="O339" s="236">
        <f t="shared" si="65"/>
        <v>0</v>
      </c>
    </row>
    <row r="340" spans="6:15" ht="12.95" customHeight="1" x14ac:dyDescent="0.2">
      <c r="F340" s="252">
        <v>2022</v>
      </c>
      <c r="G340" s="258">
        <f ca="1">+IRR(J340:O340)</f>
        <v>0.18111737540040695</v>
      </c>
      <c r="H340" s="259">
        <f ca="1">+SUM(K340:O340)/-J340</f>
        <v>1.6477039217060194</v>
      </c>
      <c r="J340" s="104">
        <f>-$F$52</f>
        <v>-977.38021669999966</v>
      </c>
      <c r="K340" s="16">
        <f t="shared" si="65"/>
        <v>0</v>
      </c>
      <c r="L340" s="16">
        <f t="shared" si="65"/>
        <v>0</v>
      </c>
      <c r="M340" s="16">
        <f t="shared" ca="1" si="65"/>
        <v>1610.4332160544686</v>
      </c>
      <c r="N340" s="16">
        <f t="shared" si="65"/>
        <v>0</v>
      </c>
      <c r="O340" s="236">
        <f t="shared" si="65"/>
        <v>0</v>
      </c>
    </row>
    <row r="341" spans="6:15" ht="12.95" customHeight="1" x14ac:dyDescent="0.2">
      <c r="F341" s="252">
        <v>2023</v>
      </c>
      <c r="G341" s="258">
        <f ca="1">+IRR(J341:O341)</f>
        <v>0.18355370455189535</v>
      </c>
      <c r="H341" s="259">
        <f ca="1">+SUM(K341:O341)/-J341</f>
        <v>1.9622388793601371</v>
      </c>
      <c r="J341" s="104">
        <f>-$F$52</f>
        <v>-977.38021669999966</v>
      </c>
      <c r="K341" s="16">
        <f t="shared" si="65"/>
        <v>0</v>
      </c>
      <c r="L341" s="16">
        <f t="shared" si="65"/>
        <v>0</v>
      </c>
      <c r="M341" s="16">
        <f t="shared" si="65"/>
        <v>0</v>
      </c>
      <c r="N341" s="16">
        <f t="shared" ca="1" si="65"/>
        <v>1917.8534611261753</v>
      </c>
      <c r="O341" s="236">
        <f t="shared" si="65"/>
        <v>0</v>
      </c>
    </row>
    <row r="342" spans="6:15" ht="12.95" customHeight="1" x14ac:dyDescent="0.2">
      <c r="F342" s="252">
        <v>2024</v>
      </c>
      <c r="G342" s="258">
        <f ca="1">+IRR(J342:O342)</f>
        <v>0.18283875727886101</v>
      </c>
      <c r="H342" s="259">
        <f ca="1">+SUM(K342:O342)/-J342</f>
        <v>2.315409077591652</v>
      </c>
      <c r="J342" s="105">
        <f>-$F$52</f>
        <v>-977.38021669999966</v>
      </c>
      <c r="K342" s="66">
        <f t="shared" si="65"/>
        <v>0</v>
      </c>
      <c r="L342" s="66">
        <f t="shared" si="65"/>
        <v>0</v>
      </c>
      <c r="M342" s="66">
        <f t="shared" si="65"/>
        <v>0</v>
      </c>
      <c r="N342" s="66">
        <f t="shared" si="65"/>
        <v>0</v>
      </c>
      <c r="O342" s="237">
        <f t="shared" ca="1" si="65"/>
        <v>2263.0350260056753</v>
      </c>
    </row>
  </sheetData>
  <conditionalFormatting sqref="A1:A1048576">
    <cfRule type="expression" dxfId="4" priority="1">
      <formula>$E$13&gt;0</formula>
    </cfRule>
  </conditionalFormatting>
  <printOptions horizontalCentered="1"/>
  <pageMargins left="0.25" right="0.25" top="0.75" bottom="0.75" header="0.3" footer="0.3"/>
  <pageSetup scale="78" orientation="landscape" horizontalDpi="1200" verticalDpi="1200" r:id="rId1"/>
  <rowBreaks count="6" manualBreakCount="6">
    <brk id="98" min="1" max="16" man="1"/>
    <brk id="133" min="1" max="16" man="1"/>
    <brk id="187" min="1" max="16" man="1"/>
    <brk id="220" min="1" max="14" man="1"/>
    <brk id="245" min="1" max="16" man="1"/>
    <brk id="295" min="1" max="1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2EC01-1B84-4AEA-844F-8F19F7AB302D}">
  <dimension ref="A2:X342"/>
  <sheetViews>
    <sheetView showGridLines="0" zoomScale="85" zoomScaleNormal="85" zoomScaleSheetLayoutView="85" workbookViewId="0"/>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f ca="1">+SUM(E168:O168)</f>
        <v>6</v>
      </c>
      <c r="I10" s="1" t="s">
        <v>184</v>
      </c>
      <c r="K10" s="15">
        <f ca="1">+(K88-K79)-(J88-J79)</f>
        <v>-66.915988790516167</v>
      </c>
      <c r="L10" s="15">
        <f t="shared" ref="L10:O10" ca="1" si="0">+(L88-L79)-(K88-K79)</f>
        <v>-74.454445895780509</v>
      </c>
      <c r="M10" s="15">
        <f t="shared" ca="1" si="0"/>
        <v>-90.418963316802888</v>
      </c>
      <c r="N10" s="15">
        <f t="shared" ca="1" si="0"/>
        <v>-109.35617781913083</v>
      </c>
      <c r="O10" s="15">
        <f t="shared" ca="1" si="0"/>
        <v>-131.81109176493067</v>
      </c>
    </row>
    <row r="11" spans="1:15" ht="12.95" customHeight="1" x14ac:dyDescent="0.2">
      <c r="B11" s="1" t="s">
        <v>188</v>
      </c>
      <c r="E11" s="14">
        <f ca="1">+SUM(K264:O264)</f>
        <v>0</v>
      </c>
      <c r="I11" s="1" t="s">
        <v>109</v>
      </c>
      <c r="K11" s="16">
        <f ca="1">-K316</f>
        <v>-16.223889166666662</v>
      </c>
      <c r="L11" s="16">
        <f t="shared" ref="L11:O11" ca="1" si="1">-L316</f>
        <v>-17.575879930555548</v>
      </c>
      <c r="M11" s="16">
        <f t="shared" ca="1" si="1"/>
        <v>-19.040536591435178</v>
      </c>
      <c r="N11" s="16">
        <f t="shared" ca="1" si="1"/>
        <v>-15.817656394657066</v>
      </c>
      <c r="O11" s="16">
        <f t="shared" ca="1" si="1"/>
        <v>-6.5607110636243231</v>
      </c>
    </row>
    <row r="12" spans="1:15" ht="12.95" customHeight="1" x14ac:dyDescent="0.2">
      <c r="B12" s="1" t="s">
        <v>189</v>
      </c>
      <c r="E12" s="16">
        <f ca="1">+SUM(K13:O13)</f>
        <v>0</v>
      </c>
      <c r="I12" s="1" t="s">
        <v>185</v>
      </c>
      <c r="K12" s="16">
        <f ca="1">+K75</f>
        <v>83.139877957182946</v>
      </c>
      <c r="L12" s="16">
        <f t="shared" ref="L12:O12" ca="1" si="2">+L75</f>
        <v>92.030325826335911</v>
      </c>
      <c r="M12" s="16">
        <f t="shared" ca="1" si="2"/>
        <v>109.45949990823803</v>
      </c>
      <c r="N12" s="16">
        <f t="shared" ca="1" si="2"/>
        <v>125.1738342137879</v>
      </c>
      <c r="O12" s="16">
        <f t="shared" ca="1" si="2"/>
        <v>138.37180282855496</v>
      </c>
    </row>
    <row r="13" spans="1:15" ht="12.95" customHeight="1" x14ac:dyDescent="0.2">
      <c r="B13" s="17" t="s">
        <v>190</v>
      </c>
      <c r="C13" s="18"/>
      <c r="D13" s="18"/>
      <c r="E13" s="19">
        <f ca="1">SUM(E10:E12)</f>
        <v>6</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8"/>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-150</v>
      </c>
      <c r="F22" s="25"/>
      <c r="G22" s="25"/>
      <c r="H22" s="25" t="s">
        <v>130</v>
      </c>
      <c r="I22" s="25"/>
      <c r="J22" s="25"/>
      <c r="K22" s="25"/>
      <c r="L22" s="25"/>
      <c r="M22" s="45">
        <v>0.02</v>
      </c>
    </row>
    <row r="23" spans="2:15" ht="12.95" customHeight="1" x14ac:dyDescent="0.2">
      <c r="B23" s="33" t="s">
        <v>132</v>
      </c>
      <c r="C23" s="33"/>
      <c r="D23" s="33"/>
      <c r="E23" s="35">
        <f>+G139</f>
        <v>100</v>
      </c>
      <c r="F23" s="25"/>
      <c r="G23" s="25"/>
    </row>
    <row r="24" spans="2:15" ht="12.95" customHeight="1" x14ac:dyDescent="0.2">
      <c r="B24" s="36" t="s">
        <v>133</v>
      </c>
      <c r="C24" s="36"/>
      <c r="D24" s="36"/>
      <c r="E24" s="37">
        <f>+SUM(E21:E23)</f>
        <v>1896.8666999999994</v>
      </c>
      <c r="F24" s="25"/>
      <c r="G24" s="25"/>
      <c r="H24" s="1" t="s">
        <v>137</v>
      </c>
      <c r="M24" s="264">
        <f>+E19</f>
        <v>194.68666999999994</v>
      </c>
    </row>
    <row r="25" spans="2:15" ht="12.95" customHeight="1" x14ac:dyDescent="0.2">
      <c r="E25" s="109"/>
      <c r="F25" s="25"/>
      <c r="G25" s="25"/>
    </row>
    <row r="26" spans="2:15" ht="12.95" customHeight="1" x14ac:dyDescent="0.2">
      <c r="B26" s="24" t="s">
        <v>142</v>
      </c>
      <c r="H26" s="1" t="s">
        <v>138</v>
      </c>
      <c r="M26" s="245">
        <v>100</v>
      </c>
    </row>
    <row r="27" spans="2:15" ht="12.95" customHeight="1" x14ac:dyDescent="0.2">
      <c r="B27" s="1" t="s">
        <v>139</v>
      </c>
      <c r="E27" s="15">
        <f>+E24</f>
        <v>1896.8666999999994</v>
      </c>
    </row>
    <row r="28" spans="2:15" ht="12.95" customHeight="1" x14ac:dyDescent="0.2">
      <c r="B28" s="4" t="s">
        <v>140</v>
      </c>
      <c r="C28" s="4"/>
      <c r="D28" s="4"/>
      <c r="E28" s="35">
        <f>-G165</f>
        <v>-163.117577826229</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9" ht="12.95" customHeight="1" x14ac:dyDescent="0.2">
      <c r="H33" s="29" t="s">
        <v>152</v>
      </c>
      <c r="I33" s="29" t="s">
        <v>154</v>
      </c>
      <c r="J33" s="29" t="s">
        <v>153</v>
      </c>
      <c r="K33" s="13">
        <f>+$K$103</f>
        <v>2020</v>
      </c>
      <c r="L33" s="13">
        <f>+$L$103</f>
        <v>2021</v>
      </c>
      <c r="M33" s="13">
        <f>+$M$103</f>
        <v>2022</v>
      </c>
      <c r="N33" s="13">
        <f>+$N$103</f>
        <v>2023</v>
      </c>
      <c r="O33" s="13">
        <f>+$O$103</f>
        <v>2024</v>
      </c>
    </row>
    <row r="34" spans="1:19" ht="12.95" customHeight="1" x14ac:dyDescent="0.2">
      <c r="F34" s="1" t="str">
        <f>+B48</f>
        <v>Revolving Credit Facility</v>
      </c>
      <c r="H34" s="32">
        <v>5</v>
      </c>
      <c r="I34" s="246">
        <f>+J34/H34</f>
        <v>0.4</v>
      </c>
      <c r="J34" s="246">
        <f>+$M$26*M22</f>
        <v>2</v>
      </c>
      <c r="K34" s="247">
        <f t="shared" ref="K34:O37" si="4">+MAX(J34-$I34,0)</f>
        <v>1.6</v>
      </c>
      <c r="L34" s="247">
        <f t="shared" si="4"/>
        <v>1.2000000000000002</v>
      </c>
      <c r="M34" s="247">
        <f t="shared" si="4"/>
        <v>0.80000000000000016</v>
      </c>
      <c r="N34" s="247">
        <f t="shared" si="4"/>
        <v>0.40000000000000013</v>
      </c>
      <c r="O34" s="247">
        <f t="shared" si="4"/>
        <v>1.1102230246251565E-16</v>
      </c>
    </row>
    <row r="35" spans="1:19" ht="12.95" customHeight="1" x14ac:dyDescent="0.2">
      <c r="F35" s="1" t="str">
        <f>+B49</f>
        <v>First Lien Term Loan</v>
      </c>
      <c r="H35" s="34">
        <v>5</v>
      </c>
      <c r="I35" s="248">
        <f>+J35/H35</f>
        <v>1.5574933599999996</v>
      </c>
      <c r="J35" s="249">
        <f>+$M$22*F49</f>
        <v>7.787466799999998</v>
      </c>
      <c r="K35" s="249">
        <f t="shared" si="4"/>
        <v>6.2299734399999984</v>
      </c>
      <c r="L35" s="249">
        <f t="shared" si="4"/>
        <v>4.6724800799999988</v>
      </c>
      <c r="M35" s="249">
        <f t="shared" si="4"/>
        <v>3.1149867199999992</v>
      </c>
      <c r="N35" s="249">
        <f t="shared" si="4"/>
        <v>1.5574933599999996</v>
      </c>
      <c r="O35" s="249">
        <f t="shared" si="4"/>
        <v>0</v>
      </c>
    </row>
    <row r="36" spans="1:19" ht="12.95" customHeight="1" x14ac:dyDescent="0.2">
      <c r="F36" s="1" t="str">
        <f>+B50</f>
        <v>Second Lien Term Loan</v>
      </c>
      <c r="G36" s="25"/>
      <c r="H36" s="34">
        <v>7</v>
      </c>
      <c r="I36" s="248">
        <f>+J36/H36</f>
        <v>0.5562476285714284</v>
      </c>
      <c r="J36" s="249">
        <f>+$M$22*F50</f>
        <v>3.893733399999999</v>
      </c>
      <c r="K36" s="249">
        <f t="shared" si="4"/>
        <v>3.3374857714285708</v>
      </c>
      <c r="L36" s="249">
        <f t="shared" si="4"/>
        <v>2.7812381428571422</v>
      </c>
      <c r="M36" s="249">
        <f t="shared" si="4"/>
        <v>2.2249905142857136</v>
      </c>
      <c r="N36" s="249">
        <f t="shared" si="4"/>
        <v>1.6687428857142852</v>
      </c>
      <c r="O36" s="249">
        <f t="shared" si="4"/>
        <v>1.1124952571428568</v>
      </c>
    </row>
    <row r="37" spans="1:19" ht="12.95" customHeight="1" x14ac:dyDescent="0.2">
      <c r="F37" s="1" t="str">
        <f>+B51</f>
        <v>Notes</v>
      </c>
      <c r="G37" s="25"/>
      <c r="H37" s="34">
        <v>10</v>
      </c>
      <c r="I37" s="248">
        <f>+J37/H37</f>
        <v>0.97343334999999964</v>
      </c>
      <c r="J37" s="249">
        <f>+$M$22*F51</f>
        <v>9.7343334999999964</v>
      </c>
      <c r="K37" s="249">
        <f t="shared" si="4"/>
        <v>8.7609001499999977</v>
      </c>
      <c r="L37" s="249">
        <f t="shared" si="4"/>
        <v>7.787466799999998</v>
      </c>
      <c r="M37" s="249">
        <f t="shared" si="4"/>
        <v>6.8140334499999984</v>
      </c>
      <c r="N37" s="249">
        <f t="shared" si="4"/>
        <v>5.8406000999999987</v>
      </c>
      <c r="O37" s="249">
        <f t="shared" si="4"/>
        <v>4.8671667499999991</v>
      </c>
    </row>
    <row r="38" spans="1:19" ht="12.95" customHeight="1" x14ac:dyDescent="0.2">
      <c r="F38" s="25"/>
      <c r="G38" s="25"/>
      <c r="H38" s="25"/>
      <c r="I38" s="25"/>
      <c r="K38" s="38"/>
      <c r="L38" s="38"/>
      <c r="M38" s="38"/>
      <c r="N38" s="38"/>
      <c r="O38" s="38"/>
    </row>
    <row r="39" spans="1:19" ht="12.95" customHeight="1" x14ac:dyDescent="0.2">
      <c r="F39" s="25"/>
      <c r="G39" s="25"/>
      <c r="H39" s="20" t="s">
        <v>90</v>
      </c>
      <c r="I39" s="18"/>
      <c r="J39" s="39">
        <f t="shared" ref="J39:O39" si="5">SUM(J34:J38)</f>
        <v>23.41553369999999</v>
      </c>
      <c r="K39" s="22">
        <f t="shared" si="5"/>
        <v>19.928359361428566</v>
      </c>
      <c r="L39" s="22">
        <f t="shared" si="5"/>
        <v>16.441185022857137</v>
      </c>
      <c r="M39" s="22">
        <f t="shared" si="5"/>
        <v>12.954010684285711</v>
      </c>
      <c r="N39" s="22">
        <f t="shared" si="5"/>
        <v>9.4668363457142846</v>
      </c>
      <c r="O39" s="23">
        <f t="shared" si="5"/>
        <v>5.9796620071428563</v>
      </c>
    </row>
    <row r="40" spans="1:19"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9" ht="13.5" thickBot="1" x14ac:dyDescent="0.25">
      <c r="A42" s="1" t="s">
        <v>39</v>
      </c>
      <c r="B42" s="47" t="str">
        <f>+E4</f>
        <v>Gooey Cookies</v>
      </c>
      <c r="C42" s="48"/>
      <c r="D42" s="48"/>
      <c r="E42" s="48"/>
      <c r="F42" s="48"/>
      <c r="G42" s="48"/>
      <c r="H42" s="48"/>
      <c r="I42" s="48"/>
      <c r="J42" s="48"/>
      <c r="K42" s="48"/>
      <c r="L42" s="48"/>
      <c r="M42" s="48"/>
      <c r="N42" s="48"/>
      <c r="O42" s="48"/>
    </row>
    <row r="43" spans="1:19" ht="12.95" customHeight="1" x14ac:dyDescent="0.2">
      <c r="B43" s="49" t="s">
        <v>4</v>
      </c>
      <c r="C43" s="4"/>
      <c r="D43" s="4"/>
      <c r="E43" s="4"/>
      <c r="F43" s="4"/>
      <c r="G43" s="4"/>
      <c r="H43" s="4"/>
      <c r="I43" s="4"/>
      <c r="J43" s="4"/>
      <c r="K43" s="4"/>
      <c r="L43" s="4"/>
      <c r="M43" s="4"/>
      <c r="N43" s="4"/>
      <c r="O43" s="4"/>
    </row>
    <row r="44" spans="1:19" ht="12.95" customHeight="1" x14ac:dyDescent="0.2">
      <c r="B44" s="4"/>
      <c r="C44" s="4"/>
      <c r="D44" s="4"/>
      <c r="E44" s="4"/>
      <c r="F44" s="4"/>
      <c r="G44" s="4"/>
      <c r="H44" s="4"/>
      <c r="I44" s="4"/>
      <c r="J44" s="4"/>
      <c r="K44" s="4"/>
      <c r="L44" s="4"/>
      <c r="M44" s="4"/>
      <c r="N44" s="4"/>
      <c r="O44" s="4"/>
    </row>
    <row r="45" spans="1:19" ht="12.95" customHeight="1" x14ac:dyDescent="0.2">
      <c r="A45" s="1" t="s">
        <v>39</v>
      </c>
      <c r="B45" s="50" t="s">
        <v>105</v>
      </c>
      <c r="C45" s="51"/>
      <c r="D45" s="51"/>
      <c r="E45" s="51"/>
      <c r="F45" s="51"/>
      <c r="G45" s="51"/>
      <c r="H45" s="51"/>
      <c r="I45" s="51"/>
      <c r="J45" s="51"/>
      <c r="K45" s="51"/>
      <c r="L45" s="51"/>
      <c r="M45" s="51"/>
      <c r="N45" s="51"/>
      <c r="O45" s="51"/>
      <c r="Q45" s="20" t="s">
        <v>304</v>
      </c>
      <c r="R45" s="18"/>
      <c r="S45" s="292"/>
    </row>
    <row r="46" spans="1:19" ht="12.95" customHeight="1" x14ac:dyDescent="0.2">
      <c r="B46" s="4"/>
      <c r="C46" s="4"/>
      <c r="D46" s="4"/>
      <c r="E46" s="4"/>
      <c r="F46" s="4"/>
      <c r="G46" s="4"/>
      <c r="H46" s="4"/>
      <c r="I46" s="4"/>
      <c r="J46" s="4"/>
      <c r="K46" s="4"/>
      <c r="L46" s="4"/>
      <c r="M46" s="4"/>
      <c r="N46" s="4"/>
      <c r="O46" s="4"/>
      <c r="Q46" s="4" t="s">
        <v>183</v>
      </c>
      <c r="R46" s="4"/>
      <c r="S46" s="200">
        <f>+M48</f>
        <v>0</v>
      </c>
    </row>
    <row r="47" spans="1:19" ht="12.95" customHeight="1" x14ac:dyDescent="0.2">
      <c r="B47" s="2" t="s">
        <v>5</v>
      </c>
      <c r="C47" s="3"/>
      <c r="D47" s="3"/>
      <c r="E47" s="2" t="s">
        <v>134</v>
      </c>
      <c r="F47" s="29" t="s">
        <v>135</v>
      </c>
      <c r="G47" s="29" t="s">
        <v>136</v>
      </c>
      <c r="I47" s="2" t="s">
        <v>6</v>
      </c>
      <c r="J47" s="3"/>
      <c r="K47" s="3"/>
      <c r="L47" s="3"/>
      <c r="M47" s="29" t="s">
        <v>135</v>
      </c>
      <c r="Q47" s="1" t="s">
        <v>306</v>
      </c>
      <c r="S47" s="38">
        <f>+M49</f>
        <v>0</v>
      </c>
    </row>
    <row r="48" spans="1:19" ht="12.95" customHeight="1" x14ac:dyDescent="0.2">
      <c r="B48" s="52" t="s">
        <v>7</v>
      </c>
      <c r="C48" s="4"/>
      <c r="D48" s="4"/>
      <c r="E48" s="53">
        <v>0</v>
      </c>
      <c r="F48" s="54">
        <f>+E48*$M$24</f>
        <v>0</v>
      </c>
      <c r="G48" s="55">
        <f>+F48/F$53</f>
        <v>0</v>
      </c>
      <c r="I48" s="4" t="s">
        <v>13</v>
      </c>
      <c r="J48" s="4"/>
      <c r="K48" s="4"/>
      <c r="L48" s="4"/>
      <c r="M48" s="289"/>
      <c r="Q48" s="20" t="s">
        <v>201</v>
      </c>
      <c r="R48" s="21"/>
      <c r="S48" s="173">
        <f>SUM(S46:S47)</f>
        <v>0</v>
      </c>
    </row>
    <row r="49" spans="1:15" ht="12.95" customHeight="1" x14ac:dyDescent="0.2">
      <c r="B49" s="56" t="s">
        <v>8</v>
      </c>
      <c r="E49" s="57">
        <v>2</v>
      </c>
      <c r="F49" s="16">
        <f>+E49*$M$24</f>
        <v>389.37333999999987</v>
      </c>
      <c r="G49" s="58">
        <f>+F49/F$53</f>
        <v>3.8441362882585737</v>
      </c>
      <c r="I49" s="1" t="s">
        <v>297</v>
      </c>
      <c r="M49" s="287"/>
    </row>
    <row r="50" spans="1:15" ht="12.95" customHeight="1" x14ac:dyDescent="0.2">
      <c r="B50" s="56" t="s">
        <v>9</v>
      </c>
      <c r="E50" s="57">
        <v>1</v>
      </c>
      <c r="F50" s="16">
        <f>+E50*$M$24</f>
        <v>194.68666999999994</v>
      </c>
      <c r="G50" s="58">
        <f>+F50/F$53</f>
        <v>1.9220681441292868</v>
      </c>
      <c r="I50" s="33" t="s">
        <v>14</v>
      </c>
      <c r="M50" s="16">
        <f>+SUM(J34:J37)</f>
        <v>23.41553369999999</v>
      </c>
    </row>
    <row r="51" spans="1:15" ht="12.95" customHeight="1" x14ac:dyDescent="0.2">
      <c r="B51" s="59" t="s">
        <v>10</v>
      </c>
      <c r="C51" s="60"/>
      <c r="D51" s="60"/>
      <c r="E51" s="61">
        <v>2.5</v>
      </c>
      <c r="F51" s="62">
        <f>+E51*$M$24</f>
        <v>486.71667499999984</v>
      </c>
      <c r="G51" s="63">
        <f>+F51/F$53</f>
        <v>4.805170360323217</v>
      </c>
      <c r="I51" s="33" t="s">
        <v>15</v>
      </c>
      <c r="M51" s="16">
        <f>+M21*E21</f>
        <v>77.874667999999971</v>
      </c>
    </row>
    <row r="52" spans="1:15" ht="12.95" customHeight="1" x14ac:dyDescent="0.2">
      <c r="B52" s="27" t="s">
        <v>11</v>
      </c>
      <c r="C52" s="3"/>
      <c r="D52" s="3"/>
      <c r="E52" s="65">
        <f>+F52/M24</f>
        <v>-4.9797270830098439</v>
      </c>
      <c r="F52" s="66">
        <f>+M53-SUM(F48:F51)</f>
        <v>-969.48648329999969</v>
      </c>
      <c r="G52" s="67">
        <f>+F52/F$53</f>
        <v>-9.5713747927110777</v>
      </c>
      <c r="I52" s="3"/>
      <c r="J52" s="3"/>
      <c r="K52" s="3"/>
      <c r="L52" s="3"/>
      <c r="M52" s="68"/>
    </row>
    <row r="53" spans="1:15" ht="12.95" customHeight="1" x14ac:dyDescent="0.2">
      <c r="B53" s="30" t="s">
        <v>12</v>
      </c>
      <c r="C53" s="69"/>
      <c r="D53" s="69"/>
      <c r="E53" s="70">
        <f>SUM(E48:E52)</f>
        <v>0.5202729169901561</v>
      </c>
      <c r="F53" s="71">
        <f>+SUM(F48:F52)</f>
        <v>101.2902016999999</v>
      </c>
      <c r="G53" s="72">
        <f>SUM(G48:G52)</f>
        <v>1</v>
      </c>
      <c r="I53" s="30" t="s">
        <v>16</v>
      </c>
      <c r="J53" s="69"/>
      <c r="K53" s="69"/>
      <c r="L53" s="69"/>
      <c r="M53" s="71">
        <f>+SUM(M48:M52)</f>
        <v>101.29020169999995</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141">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f>+H104</f>
        <v>900</v>
      </c>
      <c r="I59" s="71">
        <f t="shared" ref="I59:O59" si="6">+I104</f>
        <v>963</v>
      </c>
      <c r="J59" s="271">
        <f t="shared" si="6"/>
        <v>1030.4100000000001</v>
      </c>
      <c r="K59" s="71">
        <f t="shared" si="6"/>
        <v>1102.5387000000001</v>
      </c>
      <c r="L59" s="71">
        <f t="shared" si="6"/>
        <v>1179.7164090000001</v>
      </c>
      <c r="M59" s="71">
        <f t="shared" si="6"/>
        <v>1262.2965576300003</v>
      </c>
      <c r="N59" s="71">
        <f t="shared" si="6"/>
        <v>1350.6573166641003</v>
      </c>
      <c r="O59" s="71">
        <f t="shared" si="6"/>
        <v>1445.2033288305875</v>
      </c>
    </row>
    <row r="60" spans="1:15" s="78" customFormat="1" ht="12.95" customHeight="1" x14ac:dyDescent="0.2">
      <c r="B60" s="268" t="s">
        <v>294</v>
      </c>
      <c r="I60" s="79">
        <f>+I59/H59-1</f>
        <v>7.0000000000000062E-2</v>
      </c>
      <c r="J60" s="272">
        <f t="shared" ref="J60:O60" si="7">+J59/I59-1</f>
        <v>7.0000000000000062E-2</v>
      </c>
      <c r="K60" s="269">
        <f t="shared" si="7"/>
        <v>7.0000000000000062E-2</v>
      </c>
      <c r="L60" s="79">
        <f t="shared" si="7"/>
        <v>7.0000000000000062E-2</v>
      </c>
      <c r="M60" s="79">
        <f t="shared" si="7"/>
        <v>7.0000000000000062E-2</v>
      </c>
      <c r="N60" s="79">
        <f t="shared" si="7"/>
        <v>7.0000000000000062E-2</v>
      </c>
      <c r="O60" s="79">
        <f t="shared" si="7"/>
        <v>7.0000000000000062E-2</v>
      </c>
    </row>
    <row r="61" spans="1:15" ht="12.95" customHeight="1" x14ac:dyDescent="0.2">
      <c r="B61" s="76" t="s">
        <v>160</v>
      </c>
      <c r="C61" s="76"/>
      <c r="D61" s="76"/>
      <c r="E61" s="76"/>
      <c r="F61" s="76"/>
      <c r="G61" s="76"/>
      <c r="H61" s="31">
        <f>+H120</f>
        <v>173.49999999999997</v>
      </c>
      <c r="I61" s="31">
        <f t="shared" ref="I61:O61" si="8">+I120</f>
        <v>184.11799999999999</v>
      </c>
      <c r="J61" s="271">
        <f t="shared" si="8"/>
        <v>194.68666999999994</v>
      </c>
      <c r="K61" s="71">
        <f t="shared" si="8"/>
        <v>211.13616104999991</v>
      </c>
      <c r="L61" s="31">
        <f t="shared" si="8"/>
        <v>231.22441616399993</v>
      </c>
      <c r="M61" s="31">
        <f t="shared" si="8"/>
        <v>253.09045980481494</v>
      </c>
      <c r="N61" s="31">
        <f t="shared" si="8"/>
        <v>276.88474991614049</v>
      </c>
      <c r="O61" s="31">
        <f t="shared" si="8"/>
        <v>302.770097390008</v>
      </c>
    </row>
    <row r="62" spans="1:15" s="78" customFormat="1" ht="12.95" customHeight="1" x14ac:dyDescent="0.2">
      <c r="B62" s="268" t="s">
        <v>295</v>
      </c>
      <c r="H62" s="79">
        <f>+H61/H59</f>
        <v>0.19277777777777774</v>
      </c>
      <c r="I62" s="79">
        <f t="shared" ref="I62:O62" si="9">+I61/I59</f>
        <v>0.19119210799584632</v>
      </c>
      <c r="J62" s="272">
        <f t="shared" si="9"/>
        <v>0.18894097495171816</v>
      </c>
      <c r="K62" s="269">
        <f t="shared" si="9"/>
        <v>0.19149999999999992</v>
      </c>
      <c r="L62" s="79">
        <f t="shared" si="9"/>
        <v>0.19599999999999992</v>
      </c>
      <c r="M62" s="79">
        <f t="shared" si="9"/>
        <v>0.2004999999999999</v>
      </c>
      <c r="N62" s="79">
        <f t="shared" si="9"/>
        <v>0.20499999999999993</v>
      </c>
      <c r="O62" s="79">
        <f t="shared" si="9"/>
        <v>0.20949999999999996</v>
      </c>
    </row>
    <row r="63" spans="1:15" ht="12.95" customHeight="1" x14ac:dyDescent="0.2">
      <c r="J63" s="131"/>
      <c r="K63" s="4"/>
    </row>
    <row r="64" spans="1:15" ht="12.95" customHeight="1" x14ac:dyDescent="0.2">
      <c r="B64" s="1" t="s">
        <v>162</v>
      </c>
      <c r="J64" s="131"/>
      <c r="K64" s="54">
        <f ca="1">+K315-K306</f>
        <v>64.913354556177438</v>
      </c>
      <c r="L64" s="15">
        <f t="shared" ref="L64:O64" ca="1" si="10">+L315-L306</f>
        <v>57.958673952130681</v>
      </c>
      <c r="M64" s="15">
        <f t="shared" ca="1" si="10"/>
        <v>52.417703744429893</v>
      </c>
      <c r="N64" s="15">
        <f t="shared" ca="1" si="10"/>
        <v>49.139617498476667</v>
      </c>
      <c r="O64" s="15">
        <f t="shared" ca="1" si="10"/>
        <v>48.871667499999987</v>
      </c>
    </row>
    <row r="65" spans="2:15" ht="12.95" customHeight="1" x14ac:dyDescent="0.2">
      <c r="B65" s="1" t="s">
        <v>71</v>
      </c>
      <c r="J65" s="131"/>
      <c r="K65" s="54">
        <f>+K123</f>
        <v>45.755356050000003</v>
      </c>
      <c r="L65" s="15">
        <f t="shared" ref="L65:O65" si="11">+L123</f>
        <v>49.548089178000005</v>
      </c>
      <c r="M65" s="15">
        <f t="shared" si="11"/>
        <v>53.647603699275017</v>
      </c>
      <c r="N65" s="15">
        <f t="shared" si="11"/>
        <v>58.078264616556318</v>
      </c>
      <c r="O65" s="15">
        <f t="shared" si="11"/>
        <v>62.866344804130563</v>
      </c>
    </row>
    <row r="66" spans="2:15" s="78" customFormat="1" ht="12.95" customHeight="1" x14ac:dyDescent="0.2">
      <c r="B66" s="268" t="s">
        <v>293</v>
      </c>
      <c r="J66" s="273"/>
      <c r="K66" s="269">
        <f>+K65/K59</f>
        <v>4.1500000000000002E-2</v>
      </c>
      <c r="L66" s="79">
        <f t="shared" ref="L66:O66" si="12">+L65/L59</f>
        <v>4.2000000000000003E-2</v>
      </c>
      <c r="M66" s="79">
        <f t="shared" si="12"/>
        <v>4.2500000000000003E-2</v>
      </c>
      <c r="N66" s="79">
        <f t="shared" si="12"/>
        <v>4.3000000000000003E-2</v>
      </c>
      <c r="O66" s="79">
        <f t="shared" si="12"/>
        <v>4.3500000000000004E-2</v>
      </c>
    </row>
    <row r="67" spans="2:15" ht="12.95" customHeight="1" x14ac:dyDescent="0.2">
      <c r="J67" s="131"/>
      <c r="K67" s="4"/>
    </row>
    <row r="68" spans="2:15" ht="12.95" customHeight="1" x14ac:dyDescent="0.35">
      <c r="J68" s="274"/>
      <c r="K68" s="10" t="str">
        <f>+$K$32</f>
        <v>Fiscal Year Ended 12/31</v>
      </c>
      <c r="L68" s="85"/>
      <c r="M68" s="85"/>
      <c r="N68" s="85"/>
      <c r="O68" s="85"/>
    </row>
    <row r="69" spans="2:15" ht="12.95" customHeight="1" x14ac:dyDescent="0.2">
      <c r="B69" s="24" t="s">
        <v>180</v>
      </c>
      <c r="J69" s="275"/>
      <c r="K69" s="118">
        <f>+$K$103</f>
        <v>2020</v>
      </c>
      <c r="L69" s="13">
        <f>+$L$103</f>
        <v>2021</v>
      </c>
      <c r="M69" s="13">
        <f>+$M$103</f>
        <v>2022</v>
      </c>
      <c r="N69" s="13">
        <f>+$N$103</f>
        <v>2023</v>
      </c>
      <c r="O69" s="13">
        <f>+$O$103</f>
        <v>2024</v>
      </c>
    </row>
    <row r="70" spans="2:15" ht="12.95" customHeight="1" x14ac:dyDescent="0.2">
      <c r="B70" s="1" t="s">
        <v>35</v>
      </c>
      <c r="J70" s="276"/>
      <c r="K70" s="221">
        <f>+K118</f>
        <v>211.13616104999991</v>
      </c>
      <c r="L70" s="54">
        <f t="shared" ref="L70:O70" si="13">+L118</f>
        <v>231.22441616399993</v>
      </c>
      <c r="M70" s="54">
        <f t="shared" si="13"/>
        <v>253.09045980481494</v>
      </c>
      <c r="N70" s="54">
        <f t="shared" si="13"/>
        <v>276.88474991614049</v>
      </c>
      <c r="O70" s="54">
        <f t="shared" si="13"/>
        <v>302.770097390008</v>
      </c>
    </row>
    <row r="71" spans="2:15" ht="12.95" customHeight="1" x14ac:dyDescent="0.2">
      <c r="B71" s="1" t="s">
        <v>163</v>
      </c>
      <c r="J71" s="277"/>
      <c r="K71" s="35">
        <f ca="1">-K64</f>
        <v>-64.913354556177438</v>
      </c>
      <c r="L71" s="35">
        <f t="shared" ref="L71:O71" ca="1" si="14">-L64</f>
        <v>-57.958673952130681</v>
      </c>
      <c r="M71" s="35">
        <f t="shared" ca="1" si="14"/>
        <v>-52.417703744429893</v>
      </c>
      <c r="N71" s="35">
        <f t="shared" ca="1" si="14"/>
        <v>-49.139617498476667</v>
      </c>
      <c r="O71" s="35">
        <f t="shared" ca="1" si="14"/>
        <v>-48.871667499999987</v>
      </c>
    </row>
    <row r="72" spans="2:15" ht="12.95" customHeight="1" x14ac:dyDescent="0.2">
      <c r="B72" s="1" t="s">
        <v>181</v>
      </c>
      <c r="J72" s="277"/>
      <c r="K72" s="35">
        <f ca="1">+K112</f>
        <v>-21.999970821031937</v>
      </c>
      <c r="L72" s="35">
        <f t="shared" ref="L72:O72" ca="1" si="15">+L112</f>
        <v>-27.610374477853</v>
      </c>
      <c r="M72" s="35">
        <f t="shared" ca="1" si="15"/>
        <v>-33.189827534546396</v>
      </c>
      <c r="N72" s="35">
        <f t="shared" ca="1" si="15"/>
        <v>-39.796471442313873</v>
      </c>
      <c r="O72" s="35">
        <f t="shared" ca="1" si="15"/>
        <v>-47.619521216001168</v>
      </c>
    </row>
    <row r="73" spans="2:15" ht="12.95" customHeight="1" x14ac:dyDescent="0.2">
      <c r="B73" s="1" t="s">
        <v>164</v>
      </c>
      <c r="J73" s="278"/>
      <c r="K73" s="35">
        <f>+K207</f>
        <v>4.6723983343924207</v>
      </c>
      <c r="L73" s="35">
        <f t="shared" ref="L73:O73" si="16">+L207</f>
        <v>-4.0769527296803361</v>
      </c>
      <c r="M73" s="35">
        <f t="shared" si="16"/>
        <v>-4.3758249183255966</v>
      </c>
      <c r="N73" s="35">
        <f t="shared" si="16"/>
        <v>-4.6965621450057498</v>
      </c>
      <c r="O73" s="35">
        <f t="shared" si="16"/>
        <v>-5.0407610413213053</v>
      </c>
    </row>
    <row r="74" spans="2:15" ht="12.95" customHeight="1" x14ac:dyDescent="0.2">
      <c r="B74" s="4" t="s">
        <v>165</v>
      </c>
      <c r="C74" s="4"/>
      <c r="D74" s="4"/>
      <c r="E74" s="4"/>
      <c r="F74" s="4"/>
      <c r="G74" s="4"/>
      <c r="H74" s="4"/>
      <c r="I74" s="4"/>
      <c r="J74" s="278"/>
      <c r="K74" s="35">
        <f>-K65</f>
        <v>-45.755356050000003</v>
      </c>
      <c r="L74" s="35">
        <f t="shared" ref="L74:O74" si="17">-L65</f>
        <v>-49.548089178000005</v>
      </c>
      <c r="M74" s="35">
        <f t="shared" si="17"/>
        <v>-53.647603699275017</v>
      </c>
      <c r="N74" s="35">
        <f t="shared" si="17"/>
        <v>-58.078264616556318</v>
      </c>
      <c r="O74" s="35">
        <f t="shared" si="17"/>
        <v>-62.866344804130563</v>
      </c>
    </row>
    <row r="75" spans="2:15" s="4" customFormat="1" ht="12.95" customHeight="1" x14ac:dyDescent="0.2">
      <c r="B75" s="282" t="s">
        <v>166</v>
      </c>
      <c r="C75" s="94"/>
      <c r="D75" s="94"/>
      <c r="E75" s="94"/>
      <c r="F75" s="94"/>
      <c r="G75" s="94"/>
      <c r="H75" s="94"/>
      <c r="I75" s="94"/>
      <c r="J75" s="279"/>
      <c r="K75" s="234">
        <f ca="1">SUM(K70:K74)</f>
        <v>83.139877957182946</v>
      </c>
      <c r="L75" s="234">
        <f t="shared" ref="L75:O75" ca="1" si="18">SUM(L70:L74)</f>
        <v>92.030325826335911</v>
      </c>
      <c r="M75" s="234">
        <f t="shared" ca="1" si="18"/>
        <v>109.45949990823803</v>
      </c>
      <c r="N75" s="234">
        <f t="shared" ca="1" si="18"/>
        <v>125.1738342137879</v>
      </c>
      <c r="O75" s="235">
        <f t="shared" ca="1" si="18"/>
        <v>138.37180282855496</v>
      </c>
    </row>
    <row r="76" spans="2:15" s="4" customFormat="1" ht="12.95" customHeight="1" x14ac:dyDescent="0.2">
      <c r="B76" s="40" t="s">
        <v>167</v>
      </c>
      <c r="C76" s="2"/>
      <c r="D76" s="2"/>
      <c r="E76" s="2"/>
      <c r="F76" s="2"/>
      <c r="G76" s="2"/>
      <c r="H76" s="2"/>
      <c r="I76" s="2"/>
      <c r="J76" s="280"/>
      <c r="K76" s="42">
        <f ca="1">+K75</f>
        <v>83.139877957182946</v>
      </c>
      <c r="L76" s="42">
        <f ca="1">+K76+L75</f>
        <v>175.17020378351884</v>
      </c>
      <c r="M76" s="42">
        <f t="shared" ref="M76:O76" ca="1" si="19">+L76+M75</f>
        <v>284.62970369175684</v>
      </c>
      <c r="N76" s="42">
        <f t="shared" ca="1" si="19"/>
        <v>409.80353790554477</v>
      </c>
      <c r="O76" s="43">
        <f t="shared" ca="1" si="19"/>
        <v>548.17534073409979</v>
      </c>
    </row>
    <row r="77" spans="2:15" ht="12.95" customHeight="1" x14ac:dyDescent="0.2">
      <c r="J77" s="131"/>
      <c r="K77" s="270"/>
      <c r="L77" s="99"/>
      <c r="M77" s="99"/>
      <c r="N77" s="99"/>
      <c r="O77" s="99"/>
    </row>
    <row r="78" spans="2:15" ht="12.95" customHeight="1" x14ac:dyDescent="0.2">
      <c r="B78" s="24" t="s">
        <v>168</v>
      </c>
      <c r="J78" s="100" t="s">
        <v>126</v>
      </c>
      <c r="K78" s="4"/>
    </row>
    <row r="79" spans="2:15" ht="12.95" customHeight="1" x14ac:dyDescent="0.2">
      <c r="B79" s="1" t="s">
        <v>40</v>
      </c>
      <c r="J79" s="101">
        <f>+J139</f>
        <v>100</v>
      </c>
      <c r="K79" s="54">
        <f t="shared" ref="K79:O79" ca="1" si="20">+K139</f>
        <v>5.0000000000000142</v>
      </c>
      <c r="L79" s="15">
        <f t="shared" ca="1" si="20"/>
        <v>5.0000000000000142</v>
      </c>
      <c r="M79" s="15">
        <f t="shared" ca="1" si="20"/>
        <v>5.0000000000000142</v>
      </c>
      <c r="N79" s="15">
        <f t="shared" ca="1" si="20"/>
        <v>5.0000000000000142</v>
      </c>
      <c r="O79" s="15">
        <f t="shared" ca="1" si="20"/>
        <v>5.0000000000000142</v>
      </c>
    </row>
    <row r="80" spans="2:15" ht="12.95" customHeight="1" x14ac:dyDescent="0.2">
      <c r="J80" s="102"/>
      <c r="K80" s="4"/>
    </row>
    <row r="81" spans="2:16" ht="12.95" customHeight="1" x14ac:dyDescent="0.2">
      <c r="B81" s="1" t="s">
        <v>169</v>
      </c>
      <c r="J81" s="103">
        <f>+J158</f>
        <v>150</v>
      </c>
      <c r="K81" s="175">
        <f t="shared" ref="K81:O81" si="21">+K158</f>
        <v>150</v>
      </c>
      <c r="L81" s="14">
        <f t="shared" si="21"/>
        <v>150</v>
      </c>
      <c r="M81" s="14">
        <f t="shared" si="21"/>
        <v>150</v>
      </c>
      <c r="N81" s="14">
        <f t="shared" si="21"/>
        <v>150</v>
      </c>
      <c r="O81" s="14">
        <f t="shared" si="21"/>
        <v>150</v>
      </c>
    </row>
    <row r="82" spans="2:16" ht="12.95" customHeight="1" x14ac:dyDescent="0.2">
      <c r="J82" s="283"/>
      <c r="K82" s="88"/>
      <c r="L82" s="264"/>
      <c r="M82" s="264"/>
      <c r="N82" s="264"/>
      <c r="O82" s="264"/>
    </row>
    <row r="83" spans="2:16" ht="12.95" customHeight="1" x14ac:dyDescent="0.2">
      <c r="B83" s="1" t="str">
        <f>+B48</f>
        <v>Revolving Credit Facility</v>
      </c>
      <c r="J83" s="104">
        <f>+J159</f>
        <v>0</v>
      </c>
      <c r="K83" s="35">
        <f t="shared" ref="K83:O83" ca="1" si="22">+K159</f>
        <v>0</v>
      </c>
      <c r="L83" s="16">
        <f t="shared" ca="1" si="22"/>
        <v>0</v>
      </c>
      <c r="M83" s="16">
        <f t="shared" ca="1" si="22"/>
        <v>0</v>
      </c>
      <c r="N83" s="16">
        <f t="shared" ca="1" si="22"/>
        <v>0</v>
      </c>
      <c r="O83" s="16">
        <f t="shared" ca="1" si="22"/>
        <v>0</v>
      </c>
    </row>
    <row r="84" spans="2:16" ht="12.95" customHeight="1" x14ac:dyDescent="0.2">
      <c r="B84" s="1" t="str">
        <f>+B49</f>
        <v>First Lien Term Loan</v>
      </c>
      <c r="J84" s="104">
        <f t="shared" ref="J84:O85" si="23">+J160</f>
        <v>389.37333999999987</v>
      </c>
      <c r="K84" s="35">
        <f t="shared" ca="1" si="23"/>
        <v>211.23346204281694</v>
      </c>
      <c r="L84" s="16">
        <f t="shared" ca="1" si="23"/>
        <v>119.20313621648096</v>
      </c>
      <c r="M84" s="16">
        <f t="shared" ca="1" si="23"/>
        <v>9.7436363082428841</v>
      </c>
      <c r="N84" s="16">
        <f t="shared" ca="1" si="23"/>
        <v>0</v>
      </c>
      <c r="O84" s="16">
        <f t="shared" ca="1" si="23"/>
        <v>0</v>
      </c>
    </row>
    <row r="85" spans="2:16" ht="12.95" customHeight="1" x14ac:dyDescent="0.2">
      <c r="B85" s="3" t="str">
        <f>+B50</f>
        <v>Second Lien Term Loan</v>
      </c>
      <c r="C85" s="3"/>
      <c r="D85" s="3"/>
      <c r="E85" s="3"/>
      <c r="F85" s="3"/>
      <c r="G85" s="3"/>
      <c r="H85" s="3"/>
      <c r="I85" s="3"/>
      <c r="J85" s="105">
        <f t="shared" si="23"/>
        <v>194.68666999999994</v>
      </c>
      <c r="K85" s="66">
        <f t="shared" ca="1" si="23"/>
        <v>210.91055916666659</v>
      </c>
      <c r="L85" s="66">
        <f t="shared" ca="1" si="23"/>
        <v>228.48643909722213</v>
      </c>
      <c r="M85" s="66">
        <f t="shared" ca="1" si="23"/>
        <v>247.5269756886573</v>
      </c>
      <c r="N85" s="66">
        <f t="shared" ca="1" si="23"/>
        <v>147.91443417776935</v>
      </c>
      <c r="O85" s="66">
        <f t="shared" ca="1" si="23"/>
        <v>16.103342412838714</v>
      </c>
    </row>
    <row r="86" spans="2:16" ht="12.95" customHeight="1" x14ac:dyDescent="0.2">
      <c r="B86" s="69" t="s">
        <v>170</v>
      </c>
      <c r="C86" s="69"/>
      <c r="D86" s="69"/>
      <c r="E86" s="69"/>
      <c r="F86" s="69"/>
      <c r="G86" s="69"/>
      <c r="H86" s="69"/>
      <c r="I86" s="69"/>
      <c r="J86" s="106">
        <f>+SUM(J83:J85)</f>
        <v>584.06000999999981</v>
      </c>
      <c r="K86" s="71">
        <f t="shared" ref="K86:O86" ca="1" si="24">+SUM(K83:K85)</f>
        <v>422.14402120948353</v>
      </c>
      <c r="L86" s="71">
        <f t="shared" ca="1" si="24"/>
        <v>347.68957531370307</v>
      </c>
      <c r="M86" s="71">
        <f t="shared" ca="1" si="24"/>
        <v>257.27061199690019</v>
      </c>
      <c r="N86" s="71">
        <f t="shared" ca="1" si="24"/>
        <v>147.91443417776935</v>
      </c>
      <c r="O86" s="71">
        <f t="shared" ca="1" si="24"/>
        <v>16.103342412838714</v>
      </c>
    </row>
    <row r="87" spans="2:16" ht="12.95" customHeight="1" x14ac:dyDescent="0.2">
      <c r="B87" s="3" t="str">
        <f>+B51</f>
        <v>Notes</v>
      </c>
      <c r="C87" s="3"/>
      <c r="D87" s="3"/>
      <c r="E87" s="3"/>
      <c r="F87" s="3"/>
      <c r="G87" s="3"/>
      <c r="H87" s="3"/>
      <c r="I87" s="3"/>
      <c r="J87" s="105">
        <f>+J162</f>
        <v>486.71667499999984</v>
      </c>
      <c r="K87" s="66">
        <f t="shared" ref="K87:O87" ca="1" si="25">+K162</f>
        <v>486.71667499999984</v>
      </c>
      <c r="L87" s="66">
        <f t="shared" ca="1" si="25"/>
        <v>486.71667499999984</v>
      </c>
      <c r="M87" s="66">
        <f t="shared" ca="1" si="25"/>
        <v>486.71667499999984</v>
      </c>
      <c r="N87" s="66">
        <f t="shared" ca="1" si="25"/>
        <v>486.71667499999984</v>
      </c>
      <c r="O87" s="66">
        <f t="shared" ca="1" si="25"/>
        <v>486.71667499999984</v>
      </c>
    </row>
    <row r="88" spans="2:16" ht="12.95" customHeight="1" x14ac:dyDescent="0.2">
      <c r="B88" s="69" t="s">
        <v>171</v>
      </c>
      <c r="C88" s="4"/>
      <c r="D88" s="4"/>
      <c r="E88" s="4"/>
      <c r="F88" s="4"/>
      <c r="G88" s="4"/>
      <c r="H88" s="4"/>
      <c r="I88" s="4"/>
      <c r="J88" s="106">
        <f>+SUM(J86:J87)+J81</f>
        <v>1220.7766849999996</v>
      </c>
      <c r="K88" s="71">
        <f t="shared" ref="K88:O88" ca="1" si="26">+SUM(K86:K87)+K81</f>
        <v>1058.8606962094834</v>
      </c>
      <c r="L88" s="71">
        <f t="shared" ca="1" si="26"/>
        <v>984.40625031370291</v>
      </c>
      <c r="M88" s="71">
        <f t="shared" ca="1" si="26"/>
        <v>893.98728699690002</v>
      </c>
      <c r="N88" s="71">
        <f t="shared" ca="1" si="26"/>
        <v>784.63110917776919</v>
      </c>
      <c r="O88" s="71">
        <f t="shared" ca="1" si="26"/>
        <v>652.82001741283852</v>
      </c>
    </row>
    <row r="89" spans="2:16" ht="12.95" customHeight="1" x14ac:dyDescent="0.2">
      <c r="B89" s="3" t="str">
        <f>+B165</f>
        <v>Equity</v>
      </c>
      <c r="C89" s="3"/>
      <c r="D89" s="3"/>
      <c r="E89" s="3"/>
      <c r="F89" s="3"/>
      <c r="G89" s="3"/>
      <c r="H89" s="3"/>
      <c r="I89" s="3"/>
      <c r="J89" s="105">
        <f>+J165</f>
        <v>-1047.3611512999996</v>
      </c>
      <c r="K89" s="66">
        <f t="shared" ref="K89:O89" ca="1" si="27">+K165</f>
        <v>-984.74584973244714</v>
      </c>
      <c r="L89" s="66">
        <f t="shared" ca="1" si="27"/>
        <v>-906.1624762185578</v>
      </c>
      <c r="M89" s="66">
        <f t="shared" ca="1" si="27"/>
        <v>-811.69912092792572</v>
      </c>
      <c r="N89" s="66">
        <f t="shared" ca="1" si="27"/>
        <v>-698.43224066903235</v>
      </c>
      <c r="O89" s="66">
        <f t="shared" ca="1" si="27"/>
        <v>-562.89975720810594</v>
      </c>
    </row>
    <row r="90" spans="2:16" ht="12.95" customHeight="1" x14ac:dyDescent="0.2">
      <c r="B90" s="69" t="s">
        <v>172</v>
      </c>
      <c r="C90" s="69"/>
      <c r="D90" s="69"/>
      <c r="E90" s="69"/>
      <c r="F90" s="69"/>
      <c r="G90" s="69"/>
      <c r="H90" s="69"/>
      <c r="I90" s="69"/>
      <c r="J90" s="106">
        <f>SUM(J88:J89)</f>
        <v>173.41553369999997</v>
      </c>
      <c r="K90" s="71">
        <f t="shared" ref="K90:O90" ca="1" si="28">SUM(K88:K89)</f>
        <v>74.114846477036281</v>
      </c>
      <c r="L90" s="71">
        <f t="shared" ca="1" si="28"/>
        <v>78.243774095145113</v>
      </c>
      <c r="M90" s="71">
        <f t="shared" ca="1" si="28"/>
        <v>82.288166068974306</v>
      </c>
      <c r="N90" s="71">
        <f t="shared" ca="1" si="28"/>
        <v>86.198868508736837</v>
      </c>
      <c r="O90" s="71">
        <f t="shared" ca="1" si="28"/>
        <v>89.920260204732585</v>
      </c>
    </row>
    <row r="91" spans="2:16" ht="12.95" customHeight="1" x14ac:dyDescent="0.2">
      <c r="J91" s="107"/>
      <c r="K91" s="4"/>
    </row>
    <row r="92" spans="2:16" ht="12.95" customHeight="1" x14ac:dyDescent="0.2">
      <c r="B92" s="24" t="s">
        <v>173</v>
      </c>
      <c r="J92" s="102"/>
      <c r="K92" s="284"/>
      <c r="O92" s="108"/>
      <c r="P92" s="109"/>
    </row>
    <row r="93" spans="2:16" ht="12.95" customHeight="1" x14ac:dyDescent="0.2">
      <c r="B93" s="1" t="s">
        <v>174</v>
      </c>
      <c r="J93" s="281">
        <f>+J88/J61</f>
        <v>6.2704687742617402</v>
      </c>
      <c r="K93" s="111">
        <f t="shared" ref="K93:O93" ca="1" si="29">+K88/K61</f>
        <v>5.0150608543021242</v>
      </c>
      <c r="L93" s="111">
        <f t="shared" ca="1" si="29"/>
        <v>4.2573628972447946</v>
      </c>
      <c r="M93" s="111">
        <f t="shared" ca="1" si="29"/>
        <v>3.5322836257295078</v>
      </c>
      <c r="N93" s="111">
        <f t="shared" ca="1" si="29"/>
        <v>2.8337823206782202</v>
      </c>
      <c r="O93" s="111">
        <f t="shared" ca="1" si="29"/>
        <v>2.1561575037970804</v>
      </c>
      <c r="P93" s="109"/>
    </row>
    <row r="94" spans="2:16" ht="12.95" customHeight="1" x14ac:dyDescent="0.2">
      <c r="B94" s="1" t="s">
        <v>175</v>
      </c>
      <c r="J94" s="281">
        <f>+(J88-J79)/J61</f>
        <v>5.7568229247539131</v>
      </c>
      <c r="K94" s="111">
        <f t="shared" ref="K94:O94" ca="1" si="30">+(K88-K79)/K61</f>
        <v>4.991379453754087</v>
      </c>
      <c r="L94" s="111">
        <f t="shared" ca="1" si="30"/>
        <v>4.2357388832978691</v>
      </c>
      <c r="M94" s="111">
        <f t="shared" ca="1" si="30"/>
        <v>3.5125278435326761</v>
      </c>
      <c r="N94" s="111">
        <f t="shared" ca="1" si="30"/>
        <v>2.8157242658322441</v>
      </c>
      <c r="O94" s="111">
        <f t="shared" ca="1" si="30"/>
        <v>2.1396433234235825</v>
      </c>
      <c r="P94" s="109"/>
    </row>
    <row r="95" spans="2:16" ht="12.95" customHeight="1" x14ac:dyDescent="0.2">
      <c r="B95" s="1" t="s">
        <v>176</v>
      </c>
      <c r="J95" s="107"/>
      <c r="K95" s="114">
        <f ca="1">+K75/K88</f>
        <v>7.8518239703114528E-2</v>
      </c>
      <c r="L95" s="114">
        <f t="shared" ref="L95:O95" ca="1" si="31">+L75/L88</f>
        <v>9.3488156741191361E-2</v>
      </c>
      <c r="M95" s="114">
        <f t="shared" ca="1" si="31"/>
        <v>0.12243966049666832</v>
      </c>
      <c r="N95" s="114">
        <f t="shared" ca="1" si="31"/>
        <v>0.15953208170009991</v>
      </c>
      <c r="O95" s="114">
        <f t="shared" ca="1" si="31"/>
        <v>0.21196011019534908</v>
      </c>
    </row>
    <row r="96" spans="2:16" ht="12.95" customHeight="1" x14ac:dyDescent="0.2">
      <c r="J96" s="107"/>
      <c r="K96" s="4"/>
      <c r="O96" s="76"/>
    </row>
    <row r="97" spans="1:15" ht="12.95" customHeight="1" x14ac:dyDescent="0.2">
      <c r="B97" s="1" t="s">
        <v>177</v>
      </c>
      <c r="J97" s="107"/>
      <c r="K97" s="111">
        <f ca="1">+K61/K64</f>
        <v>3.2525843486840302</v>
      </c>
      <c r="L97" s="111">
        <f t="shared" ref="L97:O97" ca="1" si="32">+L61/L64</f>
        <v>3.9894704346578593</v>
      </c>
      <c r="M97" s="111">
        <f t="shared" ca="1" si="32"/>
        <v>4.8283393152587175</v>
      </c>
      <c r="N97" s="111">
        <f t="shared" ca="1" si="32"/>
        <v>5.6346541550658982</v>
      </c>
      <c r="O97" s="111">
        <f t="shared" ca="1" si="32"/>
        <v>6.1952070162125752</v>
      </c>
    </row>
    <row r="98" spans="1:15" ht="12.95" customHeight="1" x14ac:dyDescent="0.2">
      <c r="B98" s="1" t="s">
        <v>178</v>
      </c>
      <c r="J98" s="179"/>
      <c r="K98" s="111">
        <f ca="1">+(K61-K65)/K64</f>
        <v>2.5477162000136002</v>
      </c>
      <c r="L98" s="111">
        <f t="shared" ref="L98:O98" ca="1" si="33">+(L61-L65)/L64</f>
        <v>3.1345839129454607</v>
      </c>
      <c r="M98" s="111">
        <f t="shared" ca="1" si="33"/>
        <v>3.8048758693809339</v>
      </c>
      <c r="N98" s="111">
        <f t="shared" ca="1" si="33"/>
        <v>4.4527510883935388</v>
      </c>
      <c r="O98" s="111">
        <f t="shared" ca="1" si="33"/>
        <v>4.9088513827746416</v>
      </c>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5"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5"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5" ht="12.95" customHeight="1" x14ac:dyDescent="0.2">
      <c r="B106" s="4" t="s">
        <v>17</v>
      </c>
      <c r="C106" s="4"/>
      <c r="D106" s="4"/>
      <c r="E106" s="4"/>
      <c r="F106" s="4"/>
      <c r="G106" s="4"/>
      <c r="H106" s="121">
        <f t="shared" ref="H106:O106" si="34">SUM(H104:H105)</f>
        <v>387</v>
      </c>
      <c r="I106" s="121">
        <f t="shared" si="34"/>
        <v>415.053</v>
      </c>
      <c r="J106" s="126">
        <f t="shared" si="34"/>
        <v>445.13711999999998</v>
      </c>
      <c r="K106" s="62">
        <f t="shared" si="34"/>
        <v>478.50179579999997</v>
      </c>
      <c r="L106" s="62">
        <f t="shared" si="34"/>
        <v>514.35635432399999</v>
      </c>
      <c r="M106" s="62">
        <f t="shared" si="34"/>
        <v>552.88589224194004</v>
      </c>
      <c r="N106" s="62">
        <f t="shared" si="34"/>
        <v>594.28921933220408</v>
      </c>
      <c r="O106" s="62">
        <f t="shared" si="34"/>
        <v>638.77987134311957</v>
      </c>
    </row>
    <row r="107" spans="1:15"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5" ht="12.95" customHeight="1" x14ac:dyDescent="0.2">
      <c r="B108" s="69" t="s">
        <v>25</v>
      </c>
      <c r="C108" s="69"/>
      <c r="D108" s="69"/>
      <c r="E108" s="69"/>
      <c r="F108" s="69"/>
      <c r="G108" s="69"/>
      <c r="H108" s="122">
        <f t="shared" ref="H108:O108" si="35">+SUM(H106:H107)</f>
        <v>134.99999999999997</v>
      </c>
      <c r="I108" s="122">
        <f t="shared" si="35"/>
        <v>144.44999999999999</v>
      </c>
      <c r="J108" s="128">
        <f t="shared" si="35"/>
        <v>154.56149999999991</v>
      </c>
      <c r="K108" s="96">
        <f t="shared" si="35"/>
        <v>169.2396904499999</v>
      </c>
      <c r="L108" s="96">
        <f t="shared" si="35"/>
        <v>185.21547621299993</v>
      </c>
      <c r="M108" s="96">
        <f t="shared" si="35"/>
        <v>202.59859749961493</v>
      </c>
      <c r="N108" s="96">
        <f t="shared" si="35"/>
        <v>221.50779993291235</v>
      </c>
      <c r="O108" s="96">
        <f t="shared" si="35"/>
        <v>242.07155757912329</v>
      </c>
    </row>
    <row r="109" spans="1:15" ht="12.95" customHeight="1" x14ac:dyDescent="0.2">
      <c r="B109" s="4" t="s">
        <v>20</v>
      </c>
      <c r="C109" s="4"/>
      <c r="D109" s="4"/>
      <c r="E109" s="4"/>
      <c r="F109" s="4"/>
      <c r="G109" s="4"/>
      <c r="H109" s="120">
        <v>0</v>
      </c>
      <c r="I109" s="120">
        <v>5.0000000000000001E-3</v>
      </c>
      <c r="J109" s="127">
        <v>7.4999999999999997E-3</v>
      </c>
      <c r="K109" s="62">
        <f ca="1">+K306</f>
        <v>0.52500000000000013</v>
      </c>
      <c r="L109" s="62">
        <f ca="1">+L306</f>
        <v>5.0000000000000142E-2</v>
      </c>
      <c r="M109" s="62">
        <f ca="1">+M306</f>
        <v>5.0000000000000142E-2</v>
      </c>
      <c r="N109" s="62">
        <f ca="1">+N306</f>
        <v>5.0000000000000142E-2</v>
      </c>
      <c r="O109" s="62">
        <f ca="1">+O306</f>
        <v>5.0000000000000142E-2</v>
      </c>
    </row>
    <row r="110" spans="1:15" ht="12.95" customHeight="1" x14ac:dyDescent="0.2">
      <c r="B110" s="3" t="s">
        <v>198</v>
      </c>
      <c r="C110" s="3"/>
      <c r="D110" s="3"/>
      <c r="E110" s="3"/>
      <c r="F110" s="3"/>
      <c r="G110" s="3"/>
      <c r="H110" s="120">
        <v>0</v>
      </c>
      <c r="I110" s="120">
        <v>0</v>
      </c>
      <c r="J110" s="127">
        <v>0</v>
      </c>
      <c r="K110" s="62">
        <f ca="1">-SUM(K317,K40)</f>
        <v>-85.149418061415531</v>
      </c>
      <c r="L110" s="62">
        <f ca="1">-SUM(L317,L40)</f>
        <v>-79.071728221257644</v>
      </c>
      <c r="M110" s="62">
        <f ca="1">-SUM(M317,M40)</f>
        <v>-74.995414674436489</v>
      </c>
      <c r="N110" s="62">
        <f ca="1">-SUM(N317,N40)</f>
        <v>-68.49444823170515</v>
      </c>
      <c r="O110" s="62">
        <f ca="1">-SUM(O317,O40)</f>
        <v>-58.969552902195737</v>
      </c>
    </row>
    <row r="111" spans="1:15" ht="12.95" customHeight="1" x14ac:dyDescent="0.2">
      <c r="B111" s="4" t="s">
        <v>26</v>
      </c>
      <c r="C111" s="4"/>
      <c r="D111" s="4"/>
      <c r="E111" s="4"/>
      <c r="F111" s="4"/>
      <c r="G111" s="4"/>
      <c r="H111" s="121">
        <f t="shared" ref="H111:O111" si="36">+SUM(H108:H110)</f>
        <v>134.99999999999997</v>
      </c>
      <c r="I111" s="121">
        <f t="shared" si="36"/>
        <v>144.45499999999998</v>
      </c>
      <c r="J111" s="126">
        <f t="shared" si="36"/>
        <v>154.5689999999999</v>
      </c>
      <c r="K111" s="222">
        <f t="shared" ca="1" si="36"/>
        <v>84.615272388584373</v>
      </c>
      <c r="L111" s="222">
        <f t="shared" ca="1" si="36"/>
        <v>106.1937479917423</v>
      </c>
      <c r="M111" s="222">
        <f t="shared" ca="1" si="36"/>
        <v>127.65318282517845</v>
      </c>
      <c r="N111" s="222">
        <f t="shared" ca="1" si="36"/>
        <v>153.06335170120721</v>
      </c>
      <c r="O111" s="222">
        <f t="shared" ca="1" si="36"/>
        <v>183.15200467692756</v>
      </c>
    </row>
    <row r="112" spans="1:15" ht="12.95" customHeight="1" x14ac:dyDescent="0.2">
      <c r="B112" s="4" t="s">
        <v>22</v>
      </c>
      <c r="C112" s="4"/>
      <c r="D112" s="4"/>
      <c r="E112" s="4"/>
      <c r="F112" s="4"/>
      <c r="G112" s="4"/>
      <c r="H112" s="120">
        <v>-47.249999999999986</v>
      </c>
      <c r="I112" s="120">
        <v>-37.558299999999996</v>
      </c>
      <c r="J112" s="127">
        <v>-40.187939999999976</v>
      </c>
      <c r="K112" s="62">
        <f ca="1">-K111*K131</f>
        <v>-21.999970821031937</v>
      </c>
      <c r="L112" s="62">
        <f ca="1">-L111*L131</f>
        <v>-27.610374477853</v>
      </c>
      <c r="M112" s="62">
        <f ca="1">-M111*M131</f>
        <v>-33.189827534546396</v>
      </c>
      <c r="N112" s="62">
        <f ca="1">-N111*N131</f>
        <v>-39.796471442313873</v>
      </c>
      <c r="O112" s="62">
        <f ca="1">-O111*O131</f>
        <v>-47.619521216001168</v>
      </c>
    </row>
    <row r="113" spans="2:15" ht="12.95" customHeight="1" x14ac:dyDescent="0.2">
      <c r="B113" s="20" t="s">
        <v>23</v>
      </c>
      <c r="C113" s="21"/>
      <c r="D113" s="21"/>
      <c r="E113" s="21"/>
      <c r="F113" s="21"/>
      <c r="G113" s="21"/>
      <c r="H113" s="122">
        <f t="shared" ref="H113:O113" si="37">+SUM(H111:H112)</f>
        <v>87.749999999999986</v>
      </c>
      <c r="I113" s="122">
        <f t="shared" si="37"/>
        <v>106.89669999999998</v>
      </c>
      <c r="J113" s="128">
        <f t="shared" si="37"/>
        <v>114.38105999999993</v>
      </c>
      <c r="K113" s="234">
        <f t="shared" ca="1" si="37"/>
        <v>62.615301567552436</v>
      </c>
      <c r="L113" s="234">
        <f t="shared" ca="1" si="37"/>
        <v>78.583373513889299</v>
      </c>
      <c r="M113" s="234">
        <f t="shared" ca="1" si="37"/>
        <v>94.463355290632052</v>
      </c>
      <c r="N113" s="234">
        <f t="shared" ca="1" si="37"/>
        <v>113.26688025889334</v>
      </c>
      <c r="O113" s="235">
        <f t="shared" ca="1" si="37"/>
        <v>135.53248346092639</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38">+H108</f>
        <v>134.99999999999997</v>
      </c>
      <c r="I116" s="121">
        <f t="shared" si="38"/>
        <v>144.44999999999999</v>
      </c>
      <c r="J116" s="126">
        <f t="shared" si="38"/>
        <v>154.56149999999991</v>
      </c>
      <c r="K116" s="222">
        <f t="shared" si="38"/>
        <v>169.2396904499999</v>
      </c>
      <c r="L116" s="222">
        <f t="shared" si="38"/>
        <v>185.21547621299993</v>
      </c>
      <c r="M116" s="222">
        <f t="shared" si="38"/>
        <v>202.59859749961493</v>
      </c>
      <c r="N116" s="222">
        <f t="shared" si="38"/>
        <v>221.50779993291235</v>
      </c>
      <c r="O116" s="222">
        <f t="shared" si="38"/>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39">SUM(H116:H117)</f>
        <v>166.49999999999997</v>
      </c>
      <c r="I118" s="121">
        <f t="shared" si="39"/>
        <v>179.11799999999999</v>
      </c>
      <c r="J118" s="126">
        <f t="shared" si="39"/>
        <v>192.68666999999994</v>
      </c>
      <c r="K118" s="222">
        <f t="shared" si="39"/>
        <v>211.13616104999991</v>
      </c>
      <c r="L118" s="222">
        <f t="shared" si="39"/>
        <v>231.22441616399993</v>
      </c>
      <c r="M118" s="222">
        <f t="shared" si="39"/>
        <v>253.09045980481494</v>
      </c>
      <c r="N118" s="222">
        <f t="shared" si="39"/>
        <v>276.88474991614049</v>
      </c>
      <c r="O118" s="222">
        <f t="shared" si="39"/>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40">+SUM(H118:H119)</f>
        <v>173.49999999999997</v>
      </c>
      <c r="I120" s="122">
        <f t="shared" si="40"/>
        <v>184.11799999999999</v>
      </c>
      <c r="J120" s="128">
        <f t="shared" si="40"/>
        <v>194.68666999999994</v>
      </c>
      <c r="K120" s="96">
        <f t="shared" si="40"/>
        <v>211.13616104999991</v>
      </c>
      <c r="L120" s="96">
        <f t="shared" si="40"/>
        <v>231.22441616399993</v>
      </c>
      <c r="M120" s="96">
        <f t="shared" si="40"/>
        <v>253.09045980481494</v>
      </c>
      <c r="N120" s="96">
        <f t="shared" si="40"/>
        <v>276.88474991614049</v>
      </c>
      <c r="O120" s="97">
        <f t="shared" si="40"/>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41">+K127+0.002</f>
        <v>0.43599999999999994</v>
      </c>
      <c r="M127" s="134">
        <f t="shared" si="41"/>
        <v>0.43799999999999994</v>
      </c>
      <c r="N127" s="134">
        <f t="shared" si="41"/>
        <v>0.43999999999999995</v>
      </c>
      <c r="O127" s="134">
        <f t="shared" si="41"/>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42">+K128-0.0015</f>
        <v>0.27900000000000003</v>
      </c>
      <c r="M128" s="134">
        <f t="shared" si="42"/>
        <v>0.27750000000000002</v>
      </c>
      <c r="N128" s="134">
        <f t="shared" si="42"/>
        <v>0.27600000000000002</v>
      </c>
      <c r="O128" s="134">
        <f t="shared" si="42"/>
        <v>0.27450000000000002</v>
      </c>
    </row>
    <row r="129" spans="1:24" s="4" customFormat="1" ht="12.95" customHeight="1" x14ac:dyDescent="0.2">
      <c r="B129" s="4" t="s">
        <v>30</v>
      </c>
      <c r="H129" s="135">
        <f t="shared" ref="H129:O129" si="43">+H120/H104</f>
        <v>0.19277777777777774</v>
      </c>
      <c r="I129" s="135">
        <f t="shared" si="43"/>
        <v>0.19119210799584632</v>
      </c>
      <c r="J129" s="136">
        <f t="shared" si="43"/>
        <v>0.18894097495171816</v>
      </c>
      <c r="K129" s="135">
        <f t="shared" si="43"/>
        <v>0.19149999999999992</v>
      </c>
      <c r="L129" s="135">
        <f t="shared" si="43"/>
        <v>0.19599999999999992</v>
      </c>
      <c r="M129" s="135">
        <f t="shared" si="43"/>
        <v>0.2004999999999999</v>
      </c>
      <c r="N129" s="135">
        <f t="shared" si="43"/>
        <v>0.20499999999999993</v>
      </c>
      <c r="O129" s="135">
        <f t="shared" si="43"/>
        <v>0.20949999999999996</v>
      </c>
    </row>
    <row r="130" spans="1:24" s="4" customFormat="1" ht="12.95" customHeight="1" x14ac:dyDescent="0.2">
      <c r="B130" s="4" t="s">
        <v>32</v>
      </c>
      <c r="H130" s="33"/>
      <c r="I130" s="135">
        <f t="shared" ref="I130:O130" si="44">+I120/H120-1</f>
        <v>6.1198847262248002E-2</v>
      </c>
      <c r="J130" s="136">
        <f t="shared" si="44"/>
        <v>5.7401612009689185E-2</v>
      </c>
      <c r="K130" s="135">
        <f t="shared" si="44"/>
        <v>8.4492128043486492E-2</v>
      </c>
      <c r="L130" s="135">
        <f t="shared" si="44"/>
        <v>9.5143603133159393E-2</v>
      </c>
      <c r="M130" s="135">
        <f t="shared" si="44"/>
        <v>9.4566326530612255E-2</v>
      </c>
      <c r="N130" s="135">
        <f t="shared" si="44"/>
        <v>9.4014962593516493E-2</v>
      </c>
      <c r="O130" s="135">
        <f t="shared" si="44"/>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286">
        <v>100</v>
      </c>
      <c r="H139" s="145"/>
      <c r="I139" s="293"/>
      <c r="J139" s="146">
        <f>+SUM(G139:I139)</f>
        <v>100</v>
      </c>
      <c r="K139" s="221">
        <f ca="1">+J139+K220</f>
        <v>5.0000000000000142</v>
      </c>
      <c r="L139" s="221">
        <f ca="1">+K139+L220</f>
        <v>5.0000000000000142</v>
      </c>
      <c r="M139" s="221">
        <f ca="1">+L139+M220</f>
        <v>5.0000000000000142</v>
      </c>
      <c r="N139" s="221">
        <f ca="1">+M139+N220</f>
        <v>5.0000000000000142</v>
      </c>
      <c r="O139" s="221">
        <f ca="1">+N139+O220</f>
        <v>5.0000000000000142</v>
      </c>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273.34238992211954</v>
      </c>
      <c r="H143" s="156"/>
      <c r="J143" s="157">
        <f t="shared" ref="J143:O143" si="45">+SUM(J139:J142)</f>
        <v>273.34238992211954</v>
      </c>
      <c r="K143" s="238">
        <f t="shared" ca="1" si="45"/>
        <v>187.96286050053121</v>
      </c>
      <c r="L143" s="238">
        <f t="shared" ca="1" si="45"/>
        <v>200.52950228475208</v>
      </c>
      <c r="M143" s="238">
        <f t="shared" ca="1" si="45"/>
        <v>213.95895590231129</v>
      </c>
      <c r="N143" s="238">
        <f t="shared" ca="1" si="45"/>
        <v>228.31043846513347</v>
      </c>
      <c r="O143" s="238">
        <f t="shared" ca="1" si="45"/>
        <v>243.64722970282943</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+M50</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462.3618799221195</v>
      </c>
      <c r="H149" s="17"/>
      <c r="I149" s="18"/>
      <c r="J149" s="163">
        <f t="shared" ref="J149:O149" si="46">+SUM(J143:J148)</f>
        <v>2219.5265357958901</v>
      </c>
      <c r="K149" s="240">
        <f t="shared" ca="1" si="46"/>
        <v>2142.5559154857301</v>
      </c>
      <c r="L149" s="240">
        <f t="shared" ca="1" si="46"/>
        <v>2158.2616405183794</v>
      </c>
      <c r="M149" s="240">
        <f t="shared" ca="1" si="46"/>
        <v>2174.662867136642</v>
      </c>
      <c r="N149" s="240">
        <f t="shared" ca="1" si="46"/>
        <v>2191.7629203555853</v>
      </c>
      <c r="O149" s="241">
        <f t="shared" ca="1" si="46"/>
        <v>2209.5621827346154</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47">SUM(J151:J153)</f>
        <v>138.94020209589044</v>
      </c>
      <c r="K154" s="242">
        <f t="shared" si="47"/>
        <v>160.54898200869457</v>
      </c>
      <c r="L154" s="238">
        <f t="shared" si="47"/>
        <v>171.35400233323509</v>
      </c>
      <c r="M154" s="238">
        <f t="shared" si="47"/>
        <v>182.88503549136868</v>
      </c>
      <c r="N154" s="238">
        <f t="shared" si="47"/>
        <v>195.19077868020815</v>
      </c>
      <c r="O154" s="238">
        <f t="shared" si="47"/>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48">
        <v>0</v>
      </c>
      <c r="F158" s="148">
        <v>0</v>
      </c>
      <c r="G158" s="285">
        <v>150</v>
      </c>
      <c r="H158" s="112"/>
      <c r="I158" s="288"/>
      <c r="J158" s="149">
        <f>+SUM(G158:I158)</f>
        <v>150</v>
      </c>
      <c r="K158" s="260">
        <f>+J158</f>
        <v>150</v>
      </c>
      <c r="L158" s="260">
        <f>+K158</f>
        <v>150</v>
      </c>
      <c r="M158" s="260">
        <f>+L158</f>
        <v>150</v>
      </c>
      <c r="N158" s="260">
        <f>+M158</f>
        <v>150</v>
      </c>
      <c r="O158" s="260">
        <f>+N158</f>
        <v>150</v>
      </c>
      <c r="Q158" s="174"/>
      <c r="R158" s="174"/>
      <c r="S158" s="174"/>
      <c r="T158" s="174"/>
      <c r="U158" s="174"/>
      <c r="V158" s="174"/>
      <c r="W158" s="174"/>
      <c r="X158" s="174"/>
    </row>
    <row r="159" spans="2:24" s="4" customFormat="1" ht="12.95" customHeight="1" x14ac:dyDescent="0.2">
      <c r="B159" s="4" t="str">
        <f>+B48</f>
        <v>Revolving Credit Facility</v>
      </c>
      <c r="E159" s="148">
        <v>0</v>
      </c>
      <c r="F159" s="148">
        <v>0</v>
      </c>
      <c r="G159" s="158">
        <v>0</v>
      </c>
      <c r="H159" s="90">
        <f>+F48</f>
        <v>0</v>
      </c>
      <c r="J159" s="149">
        <f>+SUM(G159:I159)</f>
        <v>0</v>
      </c>
      <c r="K159" s="35">
        <f ca="1">+K256</f>
        <v>0</v>
      </c>
      <c r="L159" s="35">
        <f ca="1">+L256</f>
        <v>0</v>
      </c>
      <c r="M159" s="35">
        <f ca="1">+M256</f>
        <v>0</v>
      </c>
      <c r="N159" s="35">
        <f ca="1">+N256</f>
        <v>0</v>
      </c>
      <c r="O159" s="35">
        <f ca="1">+O256</f>
        <v>0</v>
      </c>
      <c r="Q159" s="174"/>
      <c r="R159" s="174"/>
      <c r="S159" s="174"/>
      <c r="T159" s="174"/>
      <c r="U159" s="174"/>
      <c r="V159" s="174"/>
      <c r="W159" s="174"/>
      <c r="X159" s="174"/>
    </row>
    <row r="160" spans="2:24" s="4" customFormat="1" ht="12.95" customHeight="1" x14ac:dyDescent="0.2">
      <c r="B160" s="4" t="str">
        <f>+B49</f>
        <v>First Lien Term Loan</v>
      </c>
      <c r="E160" s="148">
        <v>0</v>
      </c>
      <c r="F160" s="148">
        <v>0</v>
      </c>
      <c r="G160" s="158">
        <v>0</v>
      </c>
      <c r="H160" s="90">
        <f>+F49</f>
        <v>389.37333999999987</v>
      </c>
      <c r="J160" s="149">
        <f>+SUM(G160:I160)</f>
        <v>389.37333999999987</v>
      </c>
      <c r="K160" s="35">
        <f ca="1">+K270</f>
        <v>211.23346204281694</v>
      </c>
      <c r="L160" s="35">
        <f ca="1">+L270</f>
        <v>119.20313621648096</v>
      </c>
      <c r="M160" s="35">
        <f ca="1">+M270</f>
        <v>9.7436363082428841</v>
      </c>
      <c r="N160" s="35">
        <f ca="1">+N270</f>
        <v>0</v>
      </c>
      <c r="O160" s="35">
        <f ca="1">+O270</f>
        <v>0</v>
      </c>
      <c r="Q160" s="174"/>
      <c r="R160" s="174"/>
      <c r="S160" s="174"/>
      <c r="T160" s="174"/>
      <c r="U160" s="174"/>
      <c r="V160" s="174"/>
      <c r="W160" s="174"/>
      <c r="X160" s="174"/>
    </row>
    <row r="161" spans="2:24" s="4" customFormat="1" ht="12.95" customHeight="1" x14ac:dyDescent="0.2">
      <c r="B161" s="4" t="str">
        <f>+B50</f>
        <v>Second Lien Term Loan</v>
      </c>
      <c r="E161" s="148">
        <v>0</v>
      </c>
      <c r="F161" s="148">
        <v>0</v>
      </c>
      <c r="G161" s="158">
        <v>0</v>
      </c>
      <c r="H161" s="90">
        <f>+F50</f>
        <v>194.68666999999994</v>
      </c>
      <c r="J161" s="149">
        <f>+SUM(G161:I161)</f>
        <v>194.68666999999994</v>
      </c>
      <c r="K161" s="35">
        <f ca="1">+K281</f>
        <v>210.91055916666659</v>
      </c>
      <c r="L161" s="35">
        <f ca="1">+L281</f>
        <v>228.48643909722213</v>
      </c>
      <c r="M161" s="35">
        <f ca="1">+M281</f>
        <v>247.5269756886573</v>
      </c>
      <c r="N161" s="35">
        <f ca="1">+N281</f>
        <v>147.91443417776935</v>
      </c>
      <c r="O161" s="35">
        <f ca="1">+O281</f>
        <v>16.103342412838714</v>
      </c>
      <c r="Q161" s="174"/>
      <c r="R161" s="174"/>
      <c r="S161" s="174"/>
      <c r="T161" s="174"/>
      <c r="U161" s="174"/>
      <c r="V161" s="174"/>
      <c r="W161" s="174"/>
      <c r="X161" s="174"/>
    </row>
    <row r="162" spans="2:24" s="4" customFormat="1" ht="12.95" customHeight="1" x14ac:dyDescent="0.2">
      <c r="B162" s="3" t="str">
        <f>+B51</f>
        <v>Notes</v>
      </c>
      <c r="C162" s="3"/>
      <c r="D162" s="3"/>
      <c r="E162" s="151">
        <v>0</v>
      </c>
      <c r="F162" s="151">
        <v>0</v>
      </c>
      <c r="G162" s="300">
        <v>0</v>
      </c>
      <c r="H162" s="169">
        <f>+F51</f>
        <v>486.71667499999984</v>
      </c>
      <c r="I162" s="3"/>
      <c r="J162" s="152">
        <f>+SUM(G162:I162)</f>
        <v>486.71667499999984</v>
      </c>
      <c r="K162" s="66">
        <f ca="1">+K291</f>
        <v>486.71667499999984</v>
      </c>
      <c r="L162" s="66">
        <f ca="1">+L291</f>
        <v>486.71667499999984</v>
      </c>
      <c r="M162" s="66">
        <f ca="1">+M291</f>
        <v>486.71667499999984</v>
      </c>
      <c r="N162" s="66">
        <f ca="1">+N291</f>
        <v>486.71667499999984</v>
      </c>
      <c r="O162" s="66">
        <f ca="1">+O291</f>
        <v>486.71667499999984</v>
      </c>
      <c r="Q162" s="174"/>
      <c r="R162" s="174"/>
      <c r="S162" s="174"/>
      <c r="T162" s="174"/>
      <c r="U162" s="174"/>
      <c r="V162" s="174"/>
      <c r="W162" s="174"/>
      <c r="X162" s="174"/>
    </row>
    <row r="163" spans="2:24" s="69" customFormat="1" ht="12.95" customHeight="1" x14ac:dyDescent="0.2">
      <c r="B163" s="69" t="s">
        <v>50</v>
      </c>
      <c r="E163" s="154">
        <f>+SUM(E158:E162)</f>
        <v>0</v>
      </c>
      <c r="F163" s="154">
        <f>+SUM(F158:F162)</f>
        <v>0</v>
      </c>
      <c r="G163" s="155">
        <f>+SUM(G158:G162)</f>
        <v>150</v>
      </c>
      <c r="H163" s="156"/>
      <c r="J163" s="157">
        <f t="shared" ref="J163:O163" si="48">+SUM(J158:J162)</f>
        <v>1220.7766849999996</v>
      </c>
      <c r="K163" s="238">
        <f t="shared" ca="1" si="48"/>
        <v>1058.8606962094834</v>
      </c>
      <c r="L163" s="238">
        <f t="shared" ca="1" si="48"/>
        <v>984.40625031370291</v>
      </c>
      <c r="M163" s="238">
        <f t="shared" ca="1" si="48"/>
        <v>893.98728699690002</v>
      </c>
      <c r="N163" s="238">
        <f t="shared" ca="1" si="48"/>
        <v>784.63110917776919</v>
      </c>
      <c r="O163" s="238">
        <f t="shared" ca="1" si="48"/>
        <v>652.82001741283852</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163.117577826229</v>
      </c>
      <c r="H165" s="35">
        <f>+F52</f>
        <v>-969.48648329999969</v>
      </c>
      <c r="I165" s="35">
        <f>-G165-M51</f>
        <v>-240.99224582622895</v>
      </c>
      <c r="J165" s="149">
        <f>+SUM(G165:I165)</f>
        <v>-1047.3611512999996</v>
      </c>
      <c r="K165" s="35">
        <f ca="1">+J165+K113</f>
        <v>-984.74584973244714</v>
      </c>
      <c r="L165" s="35">
        <f ca="1">+K165+L113</f>
        <v>-906.1624762185578</v>
      </c>
      <c r="M165" s="35">
        <f ca="1">+L165+M113</f>
        <v>-811.69912092792572</v>
      </c>
      <c r="N165" s="35">
        <f ca="1">+M165+N113</f>
        <v>-698.43224066903235</v>
      </c>
      <c r="O165" s="35">
        <f ca="1">+N165+O113</f>
        <v>-562.89975720810594</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462.36187992211944</v>
      </c>
      <c r="H166" s="20"/>
      <c r="I166" s="21"/>
      <c r="J166" s="163">
        <f t="shared" ref="J166:O166" si="49">+SUM(J154,J156,J163,J165)</f>
        <v>322.65983579589033</v>
      </c>
      <c r="K166" s="22">
        <f t="shared" ca="1" si="49"/>
        <v>245.68921548573076</v>
      </c>
      <c r="L166" s="22">
        <f t="shared" ca="1" si="49"/>
        <v>261.39494051838017</v>
      </c>
      <c r="M166" s="22">
        <f t="shared" ca="1" si="49"/>
        <v>277.79616713664302</v>
      </c>
      <c r="N166" s="22">
        <f t="shared" ca="1" si="49"/>
        <v>294.89622035558602</v>
      </c>
      <c r="O166" s="23">
        <f t="shared" ca="1" si="49"/>
        <v>312.69548273461589</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50">+IF(ABS(J149-J166)&gt;0.001,1,0)</f>
        <v>1</v>
      </c>
      <c r="K168" s="175">
        <f t="shared" ca="1" si="50"/>
        <v>1</v>
      </c>
      <c r="L168" s="175">
        <f t="shared" ca="1" si="50"/>
        <v>1</v>
      </c>
      <c r="M168" s="175">
        <f t="shared" ca="1" si="50"/>
        <v>1</v>
      </c>
      <c r="N168" s="175">
        <f t="shared" ca="1" si="50"/>
        <v>1</v>
      </c>
      <c r="O168" s="175">
        <f t="shared" ca="1" si="50"/>
        <v>1</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34.402187826229095</v>
      </c>
      <c r="H186" s="202"/>
      <c r="I186" s="200"/>
      <c r="J186" s="102"/>
      <c r="K186" s="200">
        <f ca="1">+(K143-K139)-K154</f>
        <v>22.413878491836613</v>
      </c>
      <c r="L186" s="200">
        <f ca="1">+(L143-L139)-L154</f>
        <v>24.175499951516997</v>
      </c>
      <c r="M186" s="200">
        <f ca="1">+(M143-M139)-M154</f>
        <v>26.073920410942605</v>
      </c>
      <c r="N186" s="200">
        <f ca="1">+(N143-N139)-N154</f>
        <v>28.119659784925318</v>
      </c>
      <c r="O186" s="200">
        <f ca="1">+(O143-O139)-O154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3.3386892427508558E-2</v>
      </c>
      <c r="H187" s="115"/>
      <c r="I187" s="3"/>
      <c r="J187" s="205"/>
      <c r="K187" s="203">
        <f ca="1">+K186/K171</f>
        <v>2.032933491752862E-2</v>
      </c>
      <c r="L187" s="203">
        <f ca="1">+L186/L171</f>
        <v>2.0492636846519436E-2</v>
      </c>
      <c r="M187" s="203">
        <f ca="1">+M186/M171</f>
        <v>2.0655938775510228E-2</v>
      </c>
      <c r="N187" s="203">
        <f ca="1">+N186/N171</f>
        <v>2.0819240704500988E-2</v>
      </c>
      <c r="O187" s="203">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 ca="1">+K113</f>
        <v>62.615301567552436</v>
      </c>
      <c r="L193" s="15">
        <f ca="1">+L113</f>
        <v>78.583373513889299</v>
      </c>
      <c r="M193" s="15">
        <f ca="1">+M113</f>
        <v>94.463355290632052</v>
      </c>
      <c r="N193" s="15">
        <f ca="1">+N113</f>
        <v>113.26688025889334</v>
      </c>
      <c r="O193" s="15">
        <f ca="1">+O113</f>
        <v>135.53248346092639</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f ca="1">K316</f>
        <v>16.223889166666662</v>
      </c>
      <c r="L196" s="62">
        <f t="shared" ref="L196:O196" ca="1" si="51">L316</f>
        <v>17.575879930555548</v>
      </c>
      <c r="M196" s="62">
        <f t="shared" ca="1" si="51"/>
        <v>19.040536591435178</v>
      </c>
      <c r="N196" s="62">
        <f t="shared" ca="1" si="51"/>
        <v>15.817656394657066</v>
      </c>
      <c r="O196" s="62">
        <f t="shared" ca="1" si="51"/>
        <v>6.5607110636243231</v>
      </c>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52">+(J140-K140)</f>
        <v>-4.5168657534246393</v>
      </c>
      <c r="L199" s="16">
        <f t="shared" si="52"/>
        <v>-6.3433733424657532</v>
      </c>
      <c r="M199" s="16">
        <f t="shared" si="52"/>
        <v>-6.7874094764383699</v>
      </c>
      <c r="N199" s="16">
        <f t="shared" si="52"/>
        <v>-7.2625281397890546</v>
      </c>
      <c r="O199" s="16">
        <f t="shared" si="52"/>
        <v>-7.7709051095742865</v>
      </c>
    </row>
    <row r="200" spans="2:15" ht="12.95" customHeight="1" x14ac:dyDescent="0.2">
      <c r="B200" s="1" t="str">
        <f>+"(Increase) / Decrease in "&amp;B141</f>
        <v>(Increase) / Decrease in Inventories</v>
      </c>
      <c r="H200" s="38"/>
      <c r="I200" s="38"/>
      <c r="J200" s="38"/>
      <c r="K200" s="16">
        <f t="shared" si="52"/>
        <v>-4.2586686249870525</v>
      </c>
      <c r="L200" s="16">
        <f t="shared" si="52"/>
        <v>-4.2166480077551114</v>
      </c>
      <c r="M200" s="16">
        <f t="shared" si="52"/>
        <v>-4.4949602767408265</v>
      </c>
      <c r="N200" s="16">
        <f t="shared" si="52"/>
        <v>-4.7915746881465395</v>
      </c>
      <c r="O200" s="16">
        <f t="shared" si="52"/>
        <v>-5.1076898117930227</v>
      </c>
    </row>
    <row r="201" spans="2:15" ht="12.95" customHeight="1" x14ac:dyDescent="0.2">
      <c r="B201" s="1" t="str">
        <f>+"(Increase) / Decrease in "&amp;B142</f>
        <v>(Increase) / Decrease in Prepaid Expenses</v>
      </c>
      <c r="H201" s="38"/>
      <c r="I201" s="38"/>
      <c r="J201" s="38"/>
      <c r="K201" s="16">
        <f t="shared" si="52"/>
        <v>-0.84493619999999936</v>
      </c>
      <c r="L201" s="16">
        <f t="shared" si="52"/>
        <v>-2.0066204339999985</v>
      </c>
      <c r="M201" s="16">
        <f t="shared" si="52"/>
        <v>-2.1470838643800079</v>
      </c>
      <c r="N201" s="16">
        <f t="shared" si="52"/>
        <v>-2.2973797348865972</v>
      </c>
      <c r="O201" s="16">
        <f t="shared" si="52"/>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53">+K151-J151</f>
        <v>5.1904433589041119</v>
      </c>
      <c r="L203" s="16">
        <f t="shared" si="53"/>
        <v>3.396423326794519</v>
      </c>
      <c r="M203" s="16">
        <f t="shared" si="53"/>
        <v>3.62059814071727</v>
      </c>
      <c r="N203" s="16">
        <f t="shared" si="53"/>
        <v>3.8595149542878886</v>
      </c>
      <c r="O203" s="16">
        <f t="shared" si="53"/>
        <v>4.1141391908688973</v>
      </c>
    </row>
    <row r="204" spans="2:15" ht="12.95" customHeight="1" x14ac:dyDescent="0.2">
      <c r="B204" s="1" t="str">
        <f>+"Increase / (Decrease) in "&amp;B152</f>
        <v>Increase / (Decrease) in Accrued Liabilities</v>
      </c>
      <c r="H204" s="38"/>
      <c r="I204" s="38"/>
      <c r="J204" s="38"/>
      <c r="K204" s="16">
        <f t="shared" si="53"/>
        <v>5.0838265539000034</v>
      </c>
      <c r="L204" s="16">
        <f t="shared" si="53"/>
        <v>3.5497115477460071</v>
      </c>
      <c r="M204" s="16">
        <f t="shared" si="53"/>
        <v>3.7814275859163331</v>
      </c>
      <c r="N204" s="16">
        <f t="shared" si="53"/>
        <v>4.0281902828465519</v>
      </c>
      <c r="O204" s="16">
        <f t="shared" si="53"/>
        <v>4.2909707621760305</v>
      </c>
    </row>
    <row r="205" spans="2:15" ht="12.95" customHeight="1" x14ac:dyDescent="0.2">
      <c r="B205" s="1" t="str">
        <f>+"Increase / (Decrease) in "&amp;B153</f>
        <v>Increase / (Decrease) in Deferred Revenue</v>
      </c>
      <c r="H205" s="38"/>
      <c r="I205" s="38"/>
      <c r="J205" s="38"/>
      <c r="K205" s="16">
        <f t="shared" si="53"/>
        <v>11.334509999999995</v>
      </c>
      <c r="L205" s="16">
        <f t="shared" si="53"/>
        <v>3.8588854500000025</v>
      </c>
      <c r="M205" s="16">
        <f t="shared" si="53"/>
        <v>4.129007431500014</v>
      </c>
      <c r="N205" s="16">
        <f t="shared" si="53"/>
        <v>4.4180379517050028</v>
      </c>
      <c r="O205" s="16">
        <f t="shared" si="53"/>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 ca="1">+SUM(K193:K196,K207)</f>
        <v>128.89523400718295</v>
      </c>
      <c r="L209" s="22">
        <f ca="1">+SUM(L193:L196,L207)</f>
        <v>141.57841500433597</v>
      </c>
      <c r="M209" s="22">
        <f ca="1">+SUM(M193:M196,M207)</f>
        <v>163.10710360751307</v>
      </c>
      <c r="N209" s="22">
        <f ca="1">+SUM(N193:N196,N207)</f>
        <v>183.25209883034421</v>
      </c>
      <c r="O209" s="23">
        <f ca="1">+SUM(O193:O196,O207)</f>
        <v>201.23814763268552</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 ca="1">+L228</f>
        <v>-7.787466799999998</v>
      </c>
      <c r="M216" s="16">
        <f ca="1">+M228</f>
        <v>-7.787466799999998</v>
      </c>
      <c r="N216" s="16">
        <f ca="1">+N228</f>
        <v>-7.787466799999998</v>
      </c>
      <c r="O216" s="16">
        <f ca="1">+O228</f>
        <v>0</v>
      </c>
    </row>
    <row r="217" spans="1:15" ht="12.95" customHeight="1" x14ac:dyDescent="0.2">
      <c r="B217" s="3" t="s">
        <v>83</v>
      </c>
      <c r="C217" s="3"/>
      <c r="D217" s="3"/>
      <c r="E217" s="3"/>
      <c r="F217" s="3"/>
      <c r="G217" s="3"/>
      <c r="H217" s="27"/>
      <c r="I217" s="27"/>
      <c r="J217" s="27"/>
      <c r="K217" s="66">
        <f ca="1">+K245</f>
        <v>-170.35241115718293</v>
      </c>
      <c r="L217" s="66">
        <f ca="1">+L245</f>
        <v>-84.242859026335978</v>
      </c>
      <c r="M217" s="66">
        <f ca="1">+M245</f>
        <v>-101.67203310823807</v>
      </c>
      <c r="N217" s="66">
        <f ca="1">+N245</f>
        <v>-117.38636741378791</v>
      </c>
      <c r="O217" s="66">
        <f ca="1">+O245</f>
        <v>-138.37180282855496</v>
      </c>
    </row>
    <row r="218" spans="1:15" s="76" customFormat="1" ht="12.95" customHeight="1" x14ac:dyDescent="0.2">
      <c r="B218" s="69" t="s">
        <v>84</v>
      </c>
      <c r="C218" s="69"/>
      <c r="D218" s="69"/>
      <c r="E218" s="69"/>
      <c r="F218" s="69"/>
      <c r="G218" s="69"/>
      <c r="H218" s="210"/>
      <c r="I218" s="210"/>
      <c r="J218" s="210"/>
      <c r="K218" s="71">
        <f ca="1">+SUM(K216:K217)</f>
        <v>-178.13987795718293</v>
      </c>
      <c r="L218" s="71">
        <f ca="1">+SUM(L216:L217)</f>
        <v>-92.030325826335982</v>
      </c>
      <c r="M218" s="71">
        <f ca="1">+SUM(M216:M217)</f>
        <v>-109.45949990823807</v>
      </c>
      <c r="N218" s="71">
        <f ca="1">+SUM(N216:N217)</f>
        <v>-125.17383421378791</v>
      </c>
      <c r="O218" s="71">
        <f ca="1">+SUM(O216:O217)</f>
        <v>-138.37180282855496</v>
      </c>
    </row>
    <row r="220" spans="1:15" ht="12.95" customHeight="1" x14ac:dyDescent="0.2">
      <c r="B220" s="207" t="s">
        <v>87</v>
      </c>
      <c r="C220" s="208"/>
      <c r="D220" s="208"/>
      <c r="E220" s="208"/>
      <c r="F220" s="208"/>
      <c r="G220" s="208"/>
      <c r="H220" s="209"/>
      <c r="I220" s="209"/>
      <c r="J220" s="209"/>
      <c r="K220" s="22">
        <f ca="1">+K209+K213+K218</f>
        <v>-94.999999999999986</v>
      </c>
      <c r="L220" s="22">
        <f ca="1">+L209+L213+L218</f>
        <v>0</v>
      </c>
      <c r="M220" s="22">
        <f ca="1">+M209+M213+M218</f>
        <v>0</v>
      </c>
      <c r="N220" s="22">
        <f ca="1">+N209+N213+N218</f>
        <v>0</v>
      </c>
      <c r="O220" s="2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 ca="1">+L268</f>
        <v>-7.787466799999998</v>
      </c>
      <c r="M227" s="211">
        <f ca="1">+M268</f>
        <v>-7.787466799999998</v>
      </c>
      <c r="N227" s="211">
        <f ca="1">+N268</f>
        <v>-7.787466799999998</v>
      </c>
      <c r="O227" s="211">
        <f ca="1">+O268</f>
        <v>0</v>
      </c>
    </row>
    <row r="228" spans="2:15" s="76" customFormat="1" ht="12.95" customHeight="1" x14ac:dyDescent="0.2">
      <c r="B228" s="69" t="s">
        <v>74</v>
      </c>
      <c r="C228" s="69"/>
      <c r="D228" s="69"/>
      <c r="E228" s="69"/>
      <c r="F228" s="69"/>
      <c r="G228" s="69"/>
      <c r="H228" s="212"/>
      <c r="I228" s="212"/>
      <c r="J228" s="212"/>
      <c r="K228" s="71">
        <f>+SUM(K227)</f>
        <v>-7.787466799999998</v>
      </c>
      <c r="L228" s="71">
        <f ca="1">+SUM(L227)</f>
        <v>-7.787466799999998</v>
      </c>
      <c r="M228" s="71">
        <f ca="1">+SUM(M227)</f>
        <v>-7.787466799999998</v>
      </c>
      <c r="N228" s="71">
        <f ca="1">+SUM(N227)</f>
        <v>-7.787466799999998</v>
      </c>
      <c r="O228" s="71">
        <f ca="1">+SUM(O227)</f>
        <v>0</v>
      </c>
    </row>
    <row r="230" spans="2:15" ht="12.95" customHeight="1" x14ac:dyDescent="0.2">
      <c r="B230" s="24" t="s">
        <v>196</v>
      </c>
    </row>
    <row r="231" spans="2:15" ht="12.95" customHeight="1" x14ac:dyDescent="0.2">
      <c r="B231" s="1" t="s">
        <v>122</v>
      </c>
      <c r="K231" s="16">
        <f ca="1">+K209+K213</f>
        <v>83.139877957182946</v>
      </c>
      <c r="L231" s="16">
        <f ca="1">+L209+L213</f>
        <v>92.030325826335968</v>
      </c>
      <c r="M231" s="16">
        <f ca="1">+M209+M213</f>
        <v>109.45949990823806</v>
      </c>
      <c r="N231" s="16">
        <f ca="1">+N209+N213</f>
        <v>125.1738342137879</v>
      </c>
      <c r="O231" s="16">
        <f ca="1">+O209+O213</f>
        <v>138.37180282855496</v>
      </c>
    </row>
    <row r="232" spans="2:15" ht="12.95" customHeight="1" x14ac:dyDescent="0.2">
      <c r="B232" s="1" t="s">
        <v>123</v>
      </c>
      <c r="K232" s="16">
        <f>+K228</f>
        <v>-7.787466799999998</v>
      </c>
      <c r="L232" s="16">
        <f ca="1">+L228</f>
        <v>-7.787466799999998</v>
      </c>
      <c r="M232" s="16">
        <f ca="1">+M228</f>
        <v>-7.787466799999998</v>
      </c>
      <c r="N232" s="16">
        <f ca="1">+N228</f>
        <v>-7.787466799999998</v>
      </c>
      <c r="O232" s="16">
        <f ca="1">+O228</f>
        <v>0</v>
      </c>
    </row>
    <row r="233" spans="2:15" s="76" customFormat="1" ht="12.95" customHeight="1" x14ac:dyDescent="0.2">
      <c r="B233" s="20" t="s">
        <v>75</v>
      </c>
      <c r="C233" s="21"/>
      <c r="D233" s="21"/>
      <c r="E233" s="21"/>
      <c r="F233" s="21"/>
      <c r="G233" s="21"/>
      <c r="H233" s="21"/>
      <c r="I233" s="21"/>
      <c r="J233" s="21"/>
      <c r="K233" s="22">
        <f ca="1">SUM(K231:K232)</f>
        <v>75.352411157182942</v>
      </c>
      <c r="L233" s="22">
        <f ca="1">SUM(L231:L232)</f>
        <v>84.242859026335964</v>
      </c>
      <c r="M233" s="22">
        <f ca="1">SUM(M231:M232)</f>
        <v>101.67203310823805</v>
      </c>
      <c r="N233" s="22">
        <f ca="1">SUM(N231:N232)</f>
        <v>117.38636741378789</v>
      </c>
      <c r="O233" s="23">
        <f ca="1">SUM(O231:O232)</f>
        <v>138.37180282855496</v>
      </c>
    </row>
    <row r="235" spans="2:15" ht="12.95" customHeight="1" x14ac:dyDescent="0.2">
      <c r="B235" s="1" t="s">
        <v>76</v>
      </c>
      <c r="H235" s="38"/>
      <c r="I235" s="38"/>
      <c r="J235" s="38"/>
      <c r="K235" s="16">
        <f>+J139</f>
        <v>100</v>
      </c>
      <c r="L235" s="16">
        <f ca="1">+K139</f>
        <v>5.0000000000000142</v>
      </c>
      <c r="M235" s="16">
        <f ca="1">+L139</f>
        <v>5.0000000000000142</v>
      </c>
      <c r="N235" s="16">
        <f ca="1">+M139</f>
        <v>5.0000000000000142</v>
      </c>
      <c r="O235" s="16">
        <f ca="1">+N139</f>
        <v>5.0000000000000142</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 ca="1">+K233</f>
        <v>75.352411157182942</v>
      </c>
      <c r="L237" s="35">
        <f ca="1">+L233</f>
        <v>84.242859026335964</v>
      </c>
      <c r="M237" s="35">
        <f ca="1">+M233</f>
        <v>101.67203310823805</v>
      </c>
      <c r="N237" s="35">
        <f ca="1">+N233</f>
        <v>117.38636741378789</v>
      </c>
      <c r="O237" s="35">
        <f ca="1">+O233</f>
        <v>138.37180282855496</v>
      </c>
    </row>
    <row r="238" spans="2:15" s="76" customFormat="1" ht="12.95" customHeight="1" x14ac:dyDescent="0.2">
      <c r="B238" s="20" t="s">
        <v>86</v>
      </c>
      <c r="C238" s="21"/>
      <c r="D238" s="21"/>
      <c r="E238" s="21"/>
      <c r="F238" s="21"/>
      <c r="G238" s="21"/>
      <c r="H238" s="172"/>
      <c r="I238" s="172"/>
      <c r="J238" s="172"/>
      <c r="K238" s="22">
        <f ca="1">SUM(K235:K237)</f>
        <v>170.35241115718293</v>
      </c>
      <c r="L238" s="22">
        <f ca="1">SUM(L235:L237)</f>
        <v>84.242859026335978</v>
      </c>
      <c r="M238" s="22">
        <f ca="1">SUM(M235:M237)</f>
        <v>101.67203310823807</v>
      </c>
      <c r="N238" s="22">
        <f ca="1">SUM(N235:N237)</f>
        <v>117.38636741378791</v>
      </c>
      <c r="O238" s="23">
        <f ca="1">SUM(O235:O237)</f>
        <v>138.37180282855496</v>
      </c>
    </row>
    <row r="240" spans="2:15" s="76" customFormat="1" ht="12.95" customHeight="1" x14ac:dyDescent="0.2">
      <c r="B240" s="24" t="s">
        <v>79</v>
      </c>
    </row>
    <row r="241" spans="1:15" ht="12.95" customHeight="1" x14ac:dyDescent="0.2">
      <c r="B241" s="1" t="str">
        <f>+B159</f>
        <v>Revolving Credit Facility</v>
      </c>
      <c r="K241" s="16">
        <f ca="1">+K255</f>
        <v>0</v>
      </c>
      <c r="L241" s="16">
        <f ca="1">+L255</f>
        <v>0</v>
      </c>
      <c r="M241" s="16">
        <f ca="1">+M255</f>
        <v>0</v>
      </c>
      <c r="N241" s="16">
        <f ca="1">+N255</f>
        <v>0</v>
      </c>
      <c r="O241" s="16">
        <f ca="1">+O255</f>
        <v>0</v>
      </c>
    </row>
    <row r="242" spans="1:15" ht="12.95" customHeight="1" x14ac:dyDescent="0.2">
      <c r="B242" s="1" t="str">
        <f>+B160</f>
        <v>First Lien Term Loan</v>
      </c>
      <c r="K242" s="16">
        <f ca="1">+K269</f>
        <v>-170.35241115718293</v>
      </c>
      <c r="L242" s="16">
        <f ca="1">+L269</f>
        <v>-84.242859026335978</v>
      </c>
      <c r="M242" s="16">
        <f ca="1">+M269</f>
        <v>-101.67203310823807</v>
      </c>
      <c r="N242" s="16">
        <f ca="1">+N269</f>
        <v>-1.956169508242886</v>
      </c>
      <c r="O242" s="16">
        <f ca="1">+O269</f>
        <v>0</v>
      </c>
    </row>
    <row r="243" spans="1:15" ht="12.95" customHeight="1" x14ac:dyDescent="0.2">
      <c r="B243" s="1" t="str">
        <f>+B161</f>
        <v>Second Lien Term Loan</v>
      </c>
      <c r="K243" s="16">
        <f ca="1">+K280</f>
        <v>0</v>
      </c>
      <c r="L243" s="16">
        <f ca="1">+L280</f>
        <v>0</v>
      </c>
      <c r="M243" s="16">
        <f ca="1">+M280</f>
        <v>0</v>
      </c>
      <c r="N243" s="16">
        <f ca="1">+N280</f>
        <v>-115.43019790554503</v>
      </c>
      <c r="O243" s="16">
        <f ca="1">+O280</f>
        <v>-138.37180282855496</v>
      </c>
    </row>
    <row r="244" spans="1:15" ht="12.95" customHeight="1" x14ac:dyDescent="0.2">
      <c r="B244" s="3" t="str">
        <f>+B162</f>
        <v>Notes</v>
      </c>
      <c r="C244" s="3"/>
      <c r="D244" s="3"/>
      <c r="E244" s="3"/>
      <c r="F244" s="3"/>
      <c r="G244" s="3"/>
      <c r="H244" s="3"/>
      <c r="I244" s="3"/>
      <c r="J244" s="3"/>
      <c r="K244" s="66">
        <f ca="1">+K290</f>
        <v>0</v>
      </c>
      <c r="L244" s="66">
        <f ca="1">+L290</f>
        <v>0</v>
      </c>
      <c r="M244" s="66">
        <f ca="1">+M290</f>
        <v>0</v>
      </c>
      <c r="N244" s="66">
        <f ca="1">+N290</f>
        <v>0</v>
      </c>
      <c r="O244" s="66">
        <f ca="1">+O290</f>
        <v>0</v>
      </c>
    </row>
    <row r="245" spans="1:15" s="76" customFormat="1" ht="12.95" customHeight="1" x14ac:dyDescent="0.2">
      <c r="B245" s="69" t="s">
        <v>80</v>
      </c>
      <c r="C245" s="69"/>
      <c r="D245" s="69"/>
      <c r="E245" s="69"/>
      <c r="F245" s="69"/>
      <c r="G245" s="69"/>
      <c r="H245" s="69"/>
      <c r="I245" s="69"/>
      <c r="J245" s="69"/>
      <c r="K245" s="71">
        <f ca="1">SUM(K241:K244)</f>
        <v>-170.35241115718293</v>
      </c>
      <c r="L245" s="71">
        <f ca="1">SUM(L241:L244)</f>
        <v>-84.242859026335978</v>
      </c>
      <c r="M245" s="71">
        <f ca="1">SUM(M241:M244)</f>
        <v>-101.67203310823807</v>
      </c>
      <c r="N245" s="71">
        <f ca="1">SUM(N241:N244)</f>
        <v>-117.38636741378791</v>
      </c>
      <c r="O245" s="71">
        <f ca="1">SUM(O241:O244)</f>
        <v>-138.37180282855496</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206"/>
      <c r="M249" s="206"/>
      <c r="N249" s="206"/>
      <c r="O249" s="206"/>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13">
        <v>0.02</v>
      </c>
      <c r="L251" s="214">
        <f>+K251</f>
        <v>0.02</v>
      </c>
      <c r="M251" s="214">
        <f>+L251</f>
        <v>0.02</v>
      </c>
      <c r="N251" s="214">
        <f>+M251</f>
        <v>0.02</v>
      </c>
      <c r="O251" s="214">
        <f>+N251</f>
        <v>0.02</v>
      </c>
    </row>
    <row r="252" spans="1:15" s="4" customFormat="1" ht="12.95" customHeight="1" x14ac:dyDescent="0.2">
      <c r="K252" s="118"/>
      <c r="L252" s="118"/>
      <c r="M252" s="118"/>
      <c r="N252" s="118"/>
      <c r="O252" s="118"/>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15">
        <f>+J159</f>
        <v>0</v>
      </c>
      <c r="L254" s="54">
        <f ca="1">+K256</f>
        <v>0</v>
      </c>
      <c r="M254" s="54">
        <f ca="1">+L256</f>
        <v>0</v>
      </c>
      <c r="N254" s="54">
        <f ca="1">+M256</f>
        <v>0</v>
      </c>
      <c r="O254" s="54">
        <f ca="1">+N256</f>
        <v>0</v>
      </c>
    </row>
    <row r="255" spans="1:15" ht="12.95" customHeight="1" x14ac:dyDescent="0.2">
      <c r="B255" s="3" t="s">
        <v>94</v>
      </c>
      <c r="C255" s="3"/>
      <c r="D255" s="3"/>
      <c r="E255" s="3"/>
      <c r="F255" s="3"/>
      <c r="G255" s="3"/>
      <c r="H255" s="3"/>
      <c r="I255" s="3"/>
      <c r="J255" s="3"/>
      <c r="K255" s="66">
        <f ca="1">-MIN(K238,K254)</f>
        <v>0</v>
      </c>
      <c r="L255" s="66">
        <f ca="1">-MIN(L238,L254)</f>
        <v>0</v>
      </c>
      <c r="M255" s="66">
        <f ca="1">-MIN(M238,M254)</f>
        <v>0</v>
      </c>
      <c r="N255" s="66">
        <f ca="1">-MIN(N238,N254)</f>
        <v>0</v>
      </c>
      <c r="O255" s="66">
        <f ca="1">-MIN(O238,O254)</f>
        <v>0</v>
      </c>
    </row>
    <row r="256" spans="1:15" ht="12.95" customHeight="1" x14ac:dyDescent="0.2">
      <c r="B256" s="69" t="s">
        <v>192</v>
      </c>
      <c r="C256" s="69"/>
      <c r="D256" s="69"/>
      <c r="E256" s="69"/>
      <c r="F256" s="69"/>
      <c r="G256" s="69"/>
      <c r="H256" s="69"/>
      <c r="I256" s="69"/>
      <c r="J256" s="69"/>
      <c r="K256" s="71">
        <f ca="1">SUM(K254:K255)</f>
        <v>0</v>
      </c>
      <c r="L256" s="71">
        <f ca="1">SUM(L254:L255)</f>
        <v>0</v>
      </c>
      <c r="M256" s="71">
        <f ca="1">SUM(M254:M255)</f>
        <v>0</v>
      </c>
      <c r="N256" s="71">
        <f ca="1">SUM(N254:N255)</f>
        <v>0</v>
      </c>
      <c r="O256" s="71">
        <f ca="1">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 ca="1">+AVERAGE(K254,K256)</f>
        <v>0</v>
      </c>
      <c r="L258" s="35">
        <f ca="1">+AVERAGE(L254,L256)</f>
        <v>0</v>
      </c>
      <c r="M258" s="35">
        <f ca="1">+AVERAGE(M254,M256)</f>
        <v>0</v>
      </c>
      <c r="N258" s="35">
        <f ca="1">+AVERAGE(N254,N256)</f>
        <v>0</v>
      </c>
      <c r="O258" s="35">
        <f ca="1">+AVERAGE(O254,O256)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f ca="1">+IF($E$5=1,K258,0)*K259</f>
        <v>0</v>
      </c>
      <c r="L260" s="54">
        <f ca="1">+IF($E$5=1,L258,0)*L259</f>
        <v>0</v>
      </c>
      <c r="M260" s="54">
        <f ca="1">+IF($E$5=1,M258,0)*M259</f>
        <v>0</v>
      </c>
      <c r="N260" s="54">
        <f ca="1">+IF($E$5=1,N258,0)*N259</f>
        <v>0</v>
      </c>
      <c r="O260" s="54">
        <f ca="1">+IF($E$5=1,O258,0)*O259</f>
        <v>0</v>
      </c>
    </row>
    <row r="261" spans="2:15" s="4" customFormat="1" ht="12.95" customHeight="1" x14ac:dyDescent="0.2">
      <c r="B261" s="4" t="s">
        <v>158</v>
      </c>
      <c r="G261" s="4" t="s">
        <v>147</v>
      </c>
      <c r="I261" s="218">
        <v>25</v>
      </c>
      <c r="K261" s="15">
        <f ca="1">+IF($E$5=1,($I$258-K258),0)*$I$261/10000</f>
        <v>0.25</v>
      </c>
      <c r="L261" s="15">
        <f ca="1">+IF($E$5=1,($I$258-L258),0)*$I$261/10000</f>
        <v>0.25</v>
      </c>
      <c r="M261" s="15">
        <f ca="1">+IF($E$5=1,($I$258-M258),0)*$I$261/10000</f>
        <v>0.25</v>
      </c>
      <c r="N261" s="15">
        <f ca="1">+IF($E$5=1,($I$258-N258),0)*$I$261/10000</f>
        <v>0.25</v>
      </c>
      <c r="O261" s="15">
        <f ca="1">+IF($E$5=1,($I$258-O258),0)*$I$261/10000</f>
        <v>0.25</v>
      </c>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 ca="1">+IF(K256&gt;$I$258,1,0)</f>
        <v>0</v>
      </c>
      <c r="L264" s="14">
        <f ca="1">+IF(L256&gt;$I$258,1,0)</f>
        <v>0</v>
      </c>
      <c r="M264" s="14">
        <f ca="1">+IF(M256&gt;$I$258,1,0)</f>
        <v>0</v>
      </c>
      <c r="N264" s="14">
        <f ca="1">+IF(N256&gt;$I$258,1,0)</f>
        <v>0</v>
      </c>
      <c r="O264" s="14">
        <f ca="1">+IF(O256&gt;$I$258,1,0)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 ca="1">+K270</f>
        <v>211.23346204281694</v>
      </c>
      <c r="M267" s="54">
        <f ca="1">+L270</f>
        <v>119.20313621648096</v>
      </c>
      <c r="N267" s="54">
        <f ca="1">+M270</f>
        <v>9.7436363082428841</v>
      </c>
      <c r="O267" s="54">
        <f ca="1">+N270</f>
        <v>0</v>
      </c>
    </row>
    <row r="268" spans="2:15" s="4" customFormat="1" ht="12.95" customHeight="1" x14ac:dyDescent="0.2">
      <c r="B268" s="33" t="s">
        <v>92</v>
      </c>
      <c r="G268" s="4" t="s">
        <v>97</v>
      </c>
      <c r="I268" s="219">
        <v>0.02</v>
      </c>
      <c r="K268" s="35">
        <f>-MIN($K$267*$I$268,K267)</f>
        <v>-7.787466799999998</v>
      </c>
      <c r="L268" s="35">
        <f ca="1">-MIN($K$267*$I$268,L267)</f>
        <v>-7.787466799999998</v>
      </c>
      <c r="M268" s="35">
        <f ca="1">-MIN($K$267*$I$268,M267)</f>
        <v>-7.787466799999998</v>
      </c>
      <c r="N268" s="35">
        <f ca="1">-MIN($K$267*$I$268,N267)</f>
        <v>-7.787466799999998</v>
      </c>
      <c r="O268" s="35">
        <f ca="1">-MIN($K$267*$I$268,O267)</f>
        <v>0</v>
      </c>
    </row>
    <row r="269" spans="2:15" ht="12.95" customHeight="1" x14ac:dyDescent="0.2">
      <c r="B269" s="3" t="s">
        <v>89</v>
      </c>
      <c r="C269" s="3"/>
      <c r="D269" s="3"/>
      <c r="E269" s="3"/>
      <c r="F269" s="3"/>
      <c r="G269" s="3"/>
      <c r="H269" s="3"/>
      <c r="I269" s="3"/>
      <c r="J269" s="3"/>
      <c r="K269" s="66">
        <f ca="1">-MIN(SUM(K267:K268),SUM(K238:K241))</f>
        <v>-170.35241115718293</v>
      </c>
      <c r="L269" s="66">
        <f ca="1">-MIN(SUM(L267:L268),SUM(L238:L241))</f>
        <v>-84.242859026335978</v>
      </c>
      <c r="M269" s="66">
        <f ca="1">-MIN(SUM(M267:M268),SUM(M238:M241))</f>
        <v>-101.67203310823807</v>
      </c>
      <c r="N269" s="66">
        <f ca="1">-MIN(SUM(N267:N268),SUM(N238:N241))</f>
        <v>-1.956169508242886</v>
      </c>
      <c r="O269" s="66">
        <f ca="1">-MIN(SUM(O267:O268),SUM(O238:O241))</f>
        <v>0</v>
      </c>
    </row>
    <row r="270" spans="2:15" ht="12.95" customHeight="1" x14ac:dyDescent="0.2">
      <c r="B270" s="69" t="s">
        <v>192</v>
      </c>
      <c r="C270" s="69"/>
      <c r="D270" s="69"/>
      <c r="E270" s="69"/>
      <c r="F270" s="69"/>
      <c r="G270" s="69"/>
      <c r="H270" s="4"/>
      <c r="I270" s="69"/>
      <c r="J270" s="69"/>
      <c r="K270" s="71">
        <f ca="1">SUM(K267:K269)</f>
        <v>211.23346204281694</v>
      </c>
      <c r="L270" s="71">
        <f ca="1">SUM(L267:L269)</f>
        <v>119.20313621648096</v>
      </c>
      <c r="M270" s="71">
        <f ca="1">SUM(M267:M269)</f>
        <v>9.7436363082428841</v>
      </c>
      <c r="N270" s="71">
        <f ca="1">SUM(N267:N269)</f>
        <v>0</v>
      </c>
      <c r="O270" s="71">
        <f ca="1">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 ca="1">+AVERAGE(K267,K270)</f>
        <v>300.30340102140838</v>
      </c>
      <c r="L272" s="16">
        <f ca="1">+AVERAGE(L267,L270)</f>
        <v>165.21829912964895</v>
      </c>
      <c r="M272" s="16">
        <f ca="1">+AVERAGE(M267,M270)</f>
        <v>64.473386262361913</v>
      </c>
      <c r="N272" s="16">
        <f ca="1">+AVERAGE(N267,N270)</f>
        <v>4.871818154121442</v>
      </c>
      <c r="O272" s="16">
        <f ca="1">+AVERAGE(O267,O270)</f>
        <v>0</v>
      </c>
    </row>
    <row r="273" spans="2:15"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f ca="1">+IF($E$5=1,K272,0)*K273</f>
        <v>16.516687056177464</v>
      </c>
      <c r="L274" s="54">
        <f ca="1">+IF($E$5=1,L272,0)*L273</f>
        <v>9.0870064521306944</v>
      </c>
      <c r="M274" s="54">
        <f ca="1">+IF($E$5=1,M272,0)*M273</f>
        <v>3.5460362444299056</v>
      </c>
      <c r="N274" s="54">
        <f ca="1">+IF($E$5=1,N272,0)*N273</f>
        <v>0.26794999847667933</v>
      </c>
      <c r="O274" s="54">
        <f ca="1">+IF($E$5=1,O272,0)*O273</f>
        <v>0</v>
      </c>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20">
        <f>+J161</f>
        <v>194.68666999999994</v>
      </c>
      <c r="L278" s="54">
        <f ca="1">+K281</f>
        <v>210.91055916666659</v>
      </c>
      <c r="M278" s="54">
        <f t="shared" ref="M278:O278" ca="1" si="54">+L281</f>
        <v>228.48643909722213</v>
      </c>
      <c r="N278" s="54">
        <f t="shared" ca="1" si="54"/>
        <v>247.5269756886573</v>
      </c>
      <c r="O278" s="54">
        <f t="shared" ca="1" si="54"/>
        <v>147.91443417776935</v>
      </c>
    </row>
    <row r="279" spans="2:15" s="4" customFormat="1" ht="12.95" customHeight="1" x14ac:dyDescent="0.2">
      <c r="B279" s="4" t="s">
        <v>109</v>
      </c>
      <c r="K279" s="222">
        <f ca="1">+IF($E$5=1,K283,0)*K284*$I$283</f>
        <v>16.223889166666662</v>
      </c>
      <c r="L279" s="62">
        <f ca="1">+IF($E$5=1,L283,0)*L284*$I$283</f>
        <v>17.575879930555548</v>
      </c>
      <c r="M279" s="62">
        <f ca="1">+IF($E$5=1,M283,0)*M284*$I$283</f>
        <v>19.040536591435178</v>
      </c>
      <c r="N279" s="62">
        <f ca="1">+IF($E$5=1,N283,0)*N284*$I$283</f>
        <v>15.817656394657066</v>
      </c>
      <c r="O279" s="62">
        <f ca="1">+IF($E$5=1,O283,0)*O284*$I$283</f>
        <v>6.5607110636243231</v>
      </c>
    </row>
    <row r="280" spans="2:15" s="4" customFormat="1" ht="12.95" customHeight="1" x14ac:dyDescent="0.2">
      <c r="B280" s="3" t="s">
        <v>89</v>
      </c>
      <c r="C280" s="3"/>
      <c r="D280" s="3"/>
      <c r="E280" s="3"/>
      <c r="F280" s="3"/>
      <c r="G280" s="3"/>
      <c r="H280" s="3"/>
      <c r="I280" s="3"/>
      <c r="J280" s="3"/>
      <c r="K280" s="66">
        <f ca="1">-MIN(SUM(K278:K279),SUM(K238:K242))</f>
        <v>0</v>
      </c>
      <c r="L280" s="66">
        <f ca="1">-MIN(SUM(L278:L279),SUM(L238:L242))</f>
        <v>0</v>
      </c>
      <c r="M280" s="66">
        <f ca="1">-MIN(SUM(M278:M279),SUM(M238:M242))</f>
        <v>0</v>
      </c>
      <c r="N280" s="66">
        <f ca="1">-MIN(SUM(N278:N279),SUM(N238:N242))</f>
        <v>-115.43019790554503</v>
      </c>
      <c r="O280" s="66">
        <f ca="1">-MIN(SUM(O278:O279),SUM(O238:O242))</f>
        <v>-138.37180282855496</v>
      </c>
    </row>
    <row r="281" spans="2:15" s="4" customFormat="1" ht="12.95" customHeight="1" x14ac:dyDescent="0.2">
      <c r="B281" s="69" t="s">
        <v>192</v>
      </c>
      <c r="C281" s="69"/>
      <c r="D281" s="69"/>
      <c r="E281" s="69"/>
      <c r="F281" s="69"/>
      <c r="G281" s="69"/>
      <c r="I281" s="69"/>
      <c r="J281" s="69"/>
      <c r="K281" s="71">
        <f ca="1">SUM(K278:K280)</f>
        <v>210.91055916666659</v>
      </c>
      <c r="L281" s="71">
        <f ca="1">SUM(L278:L280)</f>
        <v>228.48643909722213</v>
      </c>
      <c r="M281" s="71">
        <f ca="1">SUM(M278:M280)</f>
        <v>247.5269756886573</v>
      </c>
      <c r="N281" s="71">
        <f ca="1">SUM(N278:N280)</f>
        <v>147.91443417776935</v>
      </c>
      <c r="O281" s="71">
        <f ca="1">SUM(O278:O280)</f>
        <v>16.103342412838714</v>
      </c>
    </row>
    <row r="282" spans="2:15" ht="12.95" customHeight="1" x14ac:dyDescent="0.2">
      <c r="B282" s="69"/>
      <c r="C282" s="69"/>
      <c r="D282" s="69"/>
      <c r="E282" s="69"/>
      <c r="F282" s="69"/>
      <c r="G282" s="69"/>
      <c r="H282" s="4"/>
      <c r="I282" s="69"/>
      <c r="J282" s="69"/>
      <c r="K282" s="154"/>
      <c r="L282" s="154"/>
      <c r="M282" s="154"/>
      <c r="N282" s="154"/>
      <c r="O282" s="154"/>
    </row>
    <row r="283" spans="2:15" ht="12.95" customHeight="1" x14ac:dyDescent="0.2">
      <c r="B283" s="1" t="s">
        <v>91</v>
      </c>
      <c r="G283" s="1" t="s">
        <v>110</v>
      </c>
      <c r="I283" s="223">
        <v>1</v>
      </c>
      <c r="K283" s="16">
        <f ca="1">+AVERAGE(K278,K281)</f>
        <v>202.79861458333326</v>
      </c>
      <c r="L283" s="16">
        <f ca="1">+AVERAGE(L278,L281)</f>
        <v>219.69849913194435</v>
      </c>
      <c r="M283" s="16">
        <f ca="1">+AVERAGE(M278,M281)</f>
        <v>238.00670739293972</v>
      </c>
      <c r="N283" s="16">
        <f ca="1">+AVERAGE(N278,N281)</f>
        <v>197.72070493321331</v>
      </c>
      <c r="O283" s="16">
        <f ca="1">+AVERAGE(O278,O281)</f>
        <v>82.008888295304033</v>
      </c>
    </row>
    <row r="284" spans="2:15"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f ca="1">+IF($E$5=1,K283,0)*K284*(1-$I$283)</f>
        <v>0</v>
      </c>
      <c r="L285" s="54">
        <f ca="1">+IF($E$5=1,L283,0)*L284*(1-$I$283)</f>
        <v>0</v>
      </c>
      <c r="M285" s="54">
        <f ca="1">+IF($E$5=1,M283,0)*M284*(1-$I$283)</f>
        <v>0</v>
      </c>
      <c r="N285" s="54">
        <f ca="1">+IF($E$5=1,N283,0)*N284*(1-$I$283)</f>
        <v>0</v>
      </c>
      <c r="O285" s="54">
        <f ca="1">+IF($E$5=1,O283,0)*O284*(1-$I$283)</f>
        <v>0</v>
      </c>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5" s="4" customFormat="1" ht="12.95" customHeight="1" x14ac:dyDescent="0.2">
      <c r="B289" s="4" t="s">
        <v>93</v>
      </c>
      <c r="K289" s="215">
        <f>+J162</f>
        <v>486.71667499999984</v>
      </c>
      <c r="L289" s="54">
        <f ca="1">+K291</f>
        <v>486.71667499999984</v>
      </c>
      <c r="M289" s="54">
        <f ca="1">+L291</f>
        <v>486.71667499999984</v>
      </c>
      <c r="N289" s="54">
        <f ca="1">+M291</f>
        <v>486.71667499999984</v>
      </c>
      <c r="O289" s="54">
        <f ca="1">+N291</f>
        <v>486.71667499999984</v>
      </c>
    </row>
    <row r="290" spans="1:15" ht="12.95" customHeight="1" x14ac:dyDescent="0.2">
      <c r="B290" s="3" t="s">
        <v>98</v>
      </c>
      <c r="C290" s="3"/>
      <c r="D290" s="3"/>
      <c r="E290" s="3"/>
      <c r="F290" s="3"/>
      <c r="G290" s="3" t="s">
        <v>99</v>
      </c>
      <c r="H290" s="133"/>
      <c r="I290" s="224">
        <v>2026</v>
      </c>
      <c r="J290" s="3"/>
      <c r="K290" s="66">
        <f ca="1">-MIN(K289,SUM(K238:K243))*IF($I$290=K$250,1,0)</f>
        <v>0</v>
      </c>
      <c r="L290" s="66">
        <f t="shared" ref="L290:O290" ca="1" si="55">-MIN(L289,SUM(L238:L243))*IF($I$290=L$250,1,0)</f>
        <v>0</v>
      </c>
      <c r="M290" s="66">
        <f t="shared" ca="1" si="55"/>
        <v>0</v>
      </c>
      <c r="N290" s="66">
        <f t="shared" ca="1" si="55"/>
        <v>0</v>
      </c>
      <c r="O290" s="66">
        <f t="shared" ca="1" si="55"/>
        <v>0</v>
      </c>
    </row>
    <row r="291" spans="1:15" ht="12.95" customHeight="1" x14ac:dyDescent="0.2">
      <c r="B291" s="69" t="s">
        <v>192</v>
      </c>
      <c r="C291" s="69"/>
      <c r="D291" s="69"/>
      <c r="E291" s="69"/>
      <c r="F291" s="69"/>
      <c r="G291" s="69"/>
      <c r="H291" s="4"/>
      <c r="I291" s="69"/>
      <c r="J291" s="69"/>
      <c r="K291" s="71">
        <f ca="1">SUM(K289:K290)</f>
        <v>486.71667499999984</v>
      </c>
      <c r="L291" s="71">
        <f ca="1">SUM(L289:L290)</f>
        <v>486.71667499999984</v>
      </c>
      <c r="M291" s="71">
        <f ca="1">SUM(M289:M290)</f>
        <v>486.71667499999984</v>
      </c>
      <c r="N291" s="71">
        <f ca="1">SUM(N289:N290)</f>
        <v>486.71667499999984</v>
      </c>
      <c r="O291" s="71">
        <f ca="1">SUM(O289:O290)</f>
        <v>486.71667499999984</v>
      </c>
    </row>
    <row r="292" spans="1:15" ht="12.95" customHeight="1" x14ac:dyDescent="0.2">
      <c r="B292" s="69"/>
      <c r="C292" s="69"/>
      <c r="D292" s="69"/>
      <c r="E292" s="69"/>
      <c r="F292" s="69"/>
      <c r="G292" s="69"/>
      <c r="H292" s="4"/>
      <c r="I292" s="69"/>
      <c r="J292" s="69"/>
      <c r="K292" s="69"/>
      <c r="L292" s="69"/>
      <c r="M292" s="69"/>
      <c r="N292" s="69"/>
      <c r="O292" s="69"/>
    </row>
    <row r="293" spans="1:15" ht="12.95" customHeight="1" x14ac:dyDescent="0.2">
      <c r="B293" s="1" t="s">
        <v>91</v>
      </c>
      <c r="K293" s="16">
        <f ca="1">+AVERAGE(K289,K291)</f>
        <v>486.71667499999984</v>
      </c>
      <c r="L293" s="16">
        <f ca="1">+AVERAGE(L289,L291)</f>
        <v>486.71667499999984</v>
      </c>
      <c r="M293" s="16">
        <f ca="1">+AVERAGE(M289,M291)</f>
        <v>486.71667499999984</v>
      </c>
      <c r="N293" s="16">
        <f ca="1">+AVERAGE(N289,N291)</f>
        <v>486.71667499999984</v>
      </c>
      <c r="O293" s="16">
        <f ca="1">+AVERAGE(O289,O291)</f>
        <v>486.71667499999984</v>
      </c>
    </row>
    <row r="294" spans="1:15" s="4" customFormat="1" ht="12.95" customHeight="1" x14ac:dyDescent="0.2">
      <c r="B294" s="4" t="s">
        <v>21</v>
      </c>
      <c r="G294" s="4" t="s">
        <v>111</v>
      </c>
      <c r="I294" s="225">
        <v>0.1</v>
      </c>
      <c r="K294" s="54">
        <f ca="1">+IF($E$5=1,K293,0)*$I$294</f>
        <v>48.671667499999984</v>
      </c>
      <c r="L294" s="54">
        <f ca="1">+IF($E$5=1,L293,0)*$I$294</f>
        <v>48.671667499999984</v>
      </c>
      <c r="M294" s="54">
        <f ca="1">+IF($E$5=1,M293,0)*$I$294</f>
        <v>48.671667499999984</v>
      </c>
      <c r="N294" s="54">
        <f ca="1">+IF($E$5=1,N293,0)*$I$294</f>
        <v>48.671667499999984</v>
      </c>
      <c r="O294" s="54">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206"/>
      <c r="M299" s="206"/>
      <c r="N299" s="206"/>
      <c r="O299" s="206"/>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54">
        <f>+J139</f>
        <v>100</v>
      </c>
      <c r="L301" s="54">
        <f ca="1">+K139</f>
        <v>5.0000000000000142</v>
      </c>
      <c r="M301" s="54">
        <f ca="1">+L139</f>
        <v>5.0000000000000142</v>
      </c>
      <c r="N301" s="54">
        <f ca="1">+M139</f>
        <v>5.0000000000000142</v>
      </c>
      <c r="O301" s="54">
        <f ca="1">+N139</f>
        <v>5.0000000000000142</v>
      </c>
    </row>
    <row r="302" spans="1:15" s="4" customFormat="1" ht="12.95" customHeight="1" x14ac:dyDescent="0.2">
      <c r="B302" s="3" t="s">
        <v>106</v>
      </c>
      <c r="C302" s="3"/>
      <c r="D302" s="3"/>
      <c r="E302" s="3"/>
      <c r="F302" s="3"/>
      <c r="G302" s="3"/>
      <c r="H302" s="3"/>
      <c r="I302" s="3"/>
      <c r="J302" s="3"/>
      <c r="K302" s="66">
        <f ca="1">+K303-K301</f>
        <v>-94.999999999999986</v>
      </c>
      <c r="L302" s="66">
        <f ca="1">+L303-L301</f>
        <v>0</v>
      </c>
      <c r="M302" s="66">
        <f ca="1">+M303-M301</f>
        <v>0</v>
      </c>
      <c r="N302" s="66">
        <f ca="1">+N303-N301</f>
        <v>0</v>
      </c>
      <c r="O302" s="66">
        <f ca="1">+O303-O301</f>
        <v>0</v>
      </c>
    </row>
    <row r="303" spans="1:15" s="69" customFormat="1" ht="12.95" customHeight="1" x14ac:dyDescent="0.2">
      <c r="B303" s="69" t="s">
        <v>192</v>
      </c>
      <c r="K303" s="71">
        <f ca="1">+K139</f>
        <v>5.0000000000000142</v>
      </c>
      <c r="L303" s="71">
        <f ca="1">+L139</f>
        <v>5.0000000000000142</v>
      </c>
      <c r="M303" s="71">
        <f ca="1">+M139</f>
        <v>5.0000000000000142</v>
      </c>
      <c r="N303" s="71">
        <f ca="1">+N139</f>
        <v>5.0000000000000142</v>
      </c>
      <c r="O303" s="71">
        <f ca="1">+O139</f>
        <v>5.0000000000000142</v>
      </c>
    </row>
    <row r="304" spans="1:15" s="4" customFormat="1" ht="12.95" customHeight="1" x14ac:dyDescent="0.2"/>
    <row r="305" spans="1:15" ht="12.95" customHeight="1" x14ac:dyDescent="0.2">
      <c r="B305" s="4" t="s">
        <v>91</v>
      </c>
      <c r="C305" s="4"/>
      <c r="D305" s="4"/>
      <c r="E305" s="4"/>
      <c r="F305" s="4"/>
      <c r="G305" s="4"/>
      <c r="H305" s="4"/>
      <c r="I305" s="4"/>
      <c r="J305" s="4"/>
      <c r="K305" s="35">
        <f ca="1">+AVERAGE(K301,K303)</f>
        <v>52.500000000000007</v>
      </c>
      <c r="L305" s="35">
        <f ca="1">+AVERAGE(L301,L303)</f>
        <v>5.0000000000000142</v>
      </c>
      <c r="M305" s="35">
        <f ca="1">+AVERAGE(M301,M303)</f>
        <v>5.0000000000000142</v>
      </c>
      <c r="N305" s="35">
        <f ca="1">+AVERAGE(N301,N303)</f>
        <v>5.0000000000000142</v>
      </c>
      <c r="O305" s="35">
        <f ca="1">+AVERAGE(O301,O303)</f>
        <v>5.0000000000000142</v>
      </c>
    </row>
    <row r="306" spans="1:15" ht="12.95" customHeight="1" x14ac:dyDescent="0.2">
      <c r="B306" s="1" t="s">
        <v>107</v>
      </c>
      <c r="G306" s="85" t="s">
        <v>193</v>
      </c>
      <c r="H306" s="4"/>
      <c r="I306" s="225">
        <v>0.01</v>
      </c>
      <c r="K306" s="15">
        <f ca="1">+IF($E$5=1,K305,0)*$I$306</f>
        <v>0.52500000000000013</v>
      </c>
      <c r="L306" s="15">
        <f ca="1">+IF($E$5=1,L305,0)*$I$306</f>
        <v>5.0000000000000142E-2</v>
      </c>
      <c r="M306" s="15">
        <f ca="1">+IF($E$5=1,M305,0)*$I$306</f>
        <v>5.0000000000000142E-2</v>
      </c>
      <c r="N306" s="15">
        <f ca="1">+IF($E$5=1,N305,0)*$I$306</f>
        <v>5.0000000000000142E-2</v>
      </c>
      <c r="O306" s="15">
        <f ca="1">+IF($E$5=1,O305,0)*$I$306</f>
        <v>5.0000000000000142E-2</v>
      </c>
    </row>
    <row r="307" spans="1:15" s="4" customFormat="1" ht="12.95" customHeight="1" x14ac:dyDescent="0.2">
      <c r="B307" s="3"/>
      <c r="C307" s="3"/>
      <c r="D307" s="3"/>
      <c r="E307" s="3"/>
      <c r="F307" s="3"/>
      <c r="G307" s="3"/>
      <c r="H307" s="3"/>
      <c r="I307" s="3"/>
      <c r="J307" s="3"/>
      <c r="K307" s="3"/>
      <c r="L307" s="3"/>
      <c r="M307" s="3"/>
      <c r="N307" s="3"/>
      <c r="O307" s="3"/>
    </row>
    <row r="309" spans="1:15" ht="12.95" customHeight="1" x14ac:dyDescent="0.2">
      <c r="B309" s="1" t="s">
        <v>197</v>
      </c>
    </row>
    <row r="310" spans="1:15" ht="12.95" customHeight="1" x14ac:dyDescent="0.2">
      <c r="B310" s="1" t="str">
        <f>+B253&amp;" - Commitment Fee"</f>
        <v>Revolving Credit Facility - Commitment Fee</v>
      </c>
      <c r="K310" s="15">
        <f ca="1">+K261</f>
        <v>0.25</v>
      </c>
      <c r="L310" s="15">
        <f ca="1">+L261</f>
        <v>0.25</v>
      </c>
      <c r="M310" s="15">
        <f ca="1">+M261</f>
        <v>0.25</v>
      </c>
      <c r="N310" s="15">
        <f ca="1">+N261</f>
        <v>0.25</v>
      </c>
      <c r="O310" s="15">
        <f ca="1">+O261</f>
        <v>0.25</v>
      </c>
    </row>
    <row r="311" spans="1:15" ht="12.95" customHeight="1" x14ac:dyDescent="0.2">
      <c r="B311" s="1" t="str">
        <f>+B253&amp;" - Drawn Interest Expense"</f>
        <v>Revolving Credit Facility - Drawn Interest Expense</v>
      </c>
      <c r="K311" s="16">
        <f ca="1">+K260</f>
        <v>0</v>
      </c>
      <c r="L311" s="16">
        <f ca="1">+L260</f>
        <v>0</v>
      </c>
      <c r="M311" s="16">
        <f ca="1">+M260</f>
        <v>0</v>
      </c>
      <c r="N311" s="16">
        <f ca="1">+N260</f>
        <v>0</v>
      </c>
      <c r="O311" s="16">
        <f ca="1">+O260</f>
        <v>0</v>
      </c>
    </row>
    <row r="312" spans="1:15" ht="12.95" customHeight="1" x14ac:dyDescent="0.2">
      <c r="B312" s="1" t="str">
        <f>+B266</f>
        <v>First Lien Term Loan</v>
      </c>
      <c r="K312" s="16">
        <f ca="1">+K274</f>
        <v>16.516687056177464</v>
      </c>
      <c r="L312" s="16">
        <f ca="1">+L274</f>
        <v>9.0870064521306944</v>
      </c>
      <c r="M312" s="16">
        <f ca="1">+M274</f>
        <v>3.5460362444299056</v>
      </c>
      <c r="N312" s="16">
        <f ca="1">+N274</f>
        <v>0.26794999847667933</v>
      </c>
      <c r="O312" s="16">
        <f ca="1">+O274</f>
        <v>0</v>
      </c>
    </row>
    <row r="313" spans="1:15" ht="12.95" customHeight="1" x14ac:dyDescent="0.2">
      <c r="B313" s="1" t="str">
        <f>+B277</f>
        <v>Second Lien Term Loan</v>
      </c>
      <c r="K313" s="16">
        <f ca="1">+K285</f>
        <v>0</v>
      </c>
      <c r="L313" s="16">
        <f ca="1">+L285</f>
        <v>0</v>
      </c>
      <c r="M313" s="16">
        <f ca="1">+M285</f>
        <v>0</v>
      </c>
      <c r="N313" s="16">
        <f ca="1">+N285</f>
        <v>0</v>
      </c>
      <c r="O313" s="16">
        <f ca="1">+O285</f>
        <v>0</v>
      </c>
    </row>
    <row r="314" spans="1:15" ht="12.95" customHeight="1" x14ac:dyDescent="0.2">
      <c r="B314" s="4" t="str">
        <f>+B288</f>
        <v>Notes</v>
      </c>
      <c r="C314" s="4"/>
      <c r="D314" s="4"/>
      <c r="E314" s="4"/>
      <c r="F314" s="4"/>
      <c r="G314" s="4"/>
      <c r="H314" s="4"/>
      <c r="I314" s="4"/>
      <c r="J314" s="4"/>
      <c r="K314" s="35">
        <f ca="1">+K294</f>
        <v>48.671667499999984</v>
      </c>
      <c r="L314" s="35">
        <f ca="1">+L294</f>
        <v>48.671667499999984</v>
      </c>
      <c r="M314" s="35">
        <f ca="1">+M294</f>
        <v>48.671667499999984</v>
      </c>
      <c r="N314" s="35">
        <f ca="1">+N294</f>
        <v>48.671667499999984</v>
      </c>
      <c r="O314" s="35">
        <f ca="1">+O294</f>
        <v>48.671667499999984</v>
      </c>
    </row>
    <row r="315" spans="1:15" ht="12.95" customHeight="1" x14ac:dyDescent="0.2">
      <c r="B315" s="226" t="s">
        <v>112</v>
      </c>
      <c r="C315" s="226"/>
      <c r="D315" s="226"/>
      <c r="E315" s="226"/>
      <c r="F315" s="226"/>
      <c r="G315" s="226"/>
      <c r="H315" s="226"/>
      <c r="I315" s="226"/>
      <c r="J315" s="226"/>
      <c r="K315" s="37">
        <f ca="1">SUM(K310:K314)</f>
        <v>65.438354556177444</v>
      </c>
      <c r="L315" s="37">
        <f ca="1">SUM(L310:L314)</f>
        <v>58.008673952130678</v>
      </c>
      <c r="M315" s="37">
        <f ca="1">SUM(M310:M314)</f>
        <v>52.46770374442989</v>
      </c>
      <c r="N315" s="37">
        <f ca="1">SUM(N310:N314)</f>
        <v>49.189617498476665</v>
      </c>
      <c r="O315" s="37">
        <f ca="1">SUM(O310:O314)</f>
        <v>48.921667499999984</v>
      </c>
    </row>
    <row r="316" spans="1:15" ht="12.95" customHeight="1" x14ac:dyDescent="0.2">
      <c r="B316" s="3" t="s">
        <v>113</v>
      </c>
      <c r="C316" s="3"/>
      <c r="D316" s="3"/>
      <c r="E316" s="3"/>
      <c r="F316" s="3"/>
      <c r="G316" s="3"/>
      <c r="H316" s="3"/>
      <c r="I316" s="3"/>
      <c r="J316" s="3"/>
      <c r="K316" s="62">
        <f ca="1">+K279</f>
        <v>16.223889166666662</v>
      </c>
      <c r="L316" s="62">
        <f t="shared" ref="L316:O316" ca="1" si="56">+L279</f>
        <v>17.575879930555548</v>
      </c>
      <c r="M316" s="62">
        <f t="shared" ca="1" si="56"/>
        <v>19.040536591435178</v>
      </c>
      <c r="N316" s="62">
        <f t="shared" ca="1" si="56"/>
        <v>15.817656394657066</v>
      </c>
      <c r="O316" s="62">
        <f t="shared" ca="1" si="56"/>
        <v>6.5607110636243231</v>
      </c>
    </row>
    <row r="317" spans="1:15" s="76" customFormat="1" ht="12.95" customHeight="1" x14ac:dyDescent="0.2">
      <c r="B317" s="69" t="s">
        <v>108</v>
      </c>
      <c r="C317" s="69"/>
      <c r="D317" s="69"/>
      <c r="E317" s="69"/>
      <c r="F317" s="69"/>
      <c r="G317" s="69"/>
      <c r="H317" s="69"/>
      <c r="I317" s="69"/>
      <c r="J317" s="69"/>
      <c r="K317" s="96">
        <f ca="1">+SUM(K315:K316)</f>
        <v>81.66224372284411</v>
      </c>
      <c r="L317" s="96">
        <f ca="1">+SUM(L315:L316)</f>
        <v>75.584553882686222</v>
      </c>
      <c r="M317" s="96">
        <f ca="1">+SUM(M315:M316)</f>
        <v>71.508240335865068</v>
      </c>
      <c r="N317" s="96">
        <f ca="1">+SUM(N315:N316)</f>
        <v>65.007273893133728</v>
      </c>
      <c r="O317" s="96">
        <f ca="1">+SUM(O315:O316)</f>
        <v>55.482378563624309</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5" ht="12.95" customHeight="1" x14ac:dyDescent="0.35">
      <c r="K321" s="10" t="str">
        <f>+$K$32</f>
        <v>Fiscal Year Ended 12/31</v>
      </c>
      <c r="L321" s="11"/>
      <c r="M321" s="11"/>
      <c r="N321" s="11"/>
      <c r="O321" s="11"/>
    </row>
    <row r="322" spans="2:15" ht="12.95" customHeight="1" x14ac:dyDescent="0.2">
      <c r="K322" s="13">
        <f>+K138</f>
        <v>2020</v>
      </c>
      <c r="L322" s="13">
        <f>+K322+1</f>
        <v>2021</v>
      </c>
      <c r="M322" s="13">
        <f>+L322+1</f>
        <v>2022</v>
      </c>
      <c r="N322" s="13">
        <f>+M322+1</f>
        <v>2023</v>
      </c>
      <c r="O322" s="13">
        <f>+N322+1</f>
        <v>2024</v>
      </c>
    </row>
    <row r="323" spans="2:15" ht="12.95" customHeight="1" x14ac:dyDescent="0.2">
      <c r="B323" s="1" t="s">
        <v>35</v>
      </c>
      <c r="K323" s="54">
        <f>+K120</f>
        <v>211.13616104999991</v>
      </c>
      <c r="L323" s="54">
        <f t="shared" ref="L323:O323" si="57">+L120</f>
        <v>231.22441616399993</v>
      </c>
      <c r="M323" s="54">
        <f t="shared" si="57"/>
        <v>253.09045980481494</v>
      </c>
      <c r="N323" s="54">
        <f t="shared" si="57"/>
        <v>276.88474991614049</v>
      </c>
      <c r="O323" s="54">
        <f t="shared" si="57"/>
        <v>302.770097390008</v>
      </c>
    </row>
    <row r="324" spans="2:15" ht="12.95" customHeight="1" x14ac:dyDescent="0.2">
      <c r="B324" s="4" t="s">
        <v>200</v>
      </c>
      <c r="C324" s="4"/>
      <c r="D324" s="4"/>
      <c r="E324" s="4"/>
      <c r="F324" s="4"/>
      <c r="G324" s="4"/>
      <c r="H324" s="4"/>
      <c r="I324" s="4"/>
      <c r="J324" s="4"/>
      <c r="K324" s="253">
        <f>+$M$19</f>
        <v>10</v>
      </c>
      <c r="L324" s="253">
        <f>+$M$19</f>
        <v>10</v>
      </c>
      <c r="M324" s="253">
        <f>+$M$19</f>
        <v>10</v>
      </c>
      <c r="N324" s="253">
        <f>+$M$19</f>
        <v>10</v>
      </c>
      <c r="O324" s="253">
        <f>+$M$19</f>
        <v>10</v>
      </c>
    </row>
    <row r="325" spans="2:15" ht="12.95" customHeight="1" x14ac:dyDescent="0.2">
      <c r="B325" s="226" t="s">
        <v>201</v>
      </c>
      <c r="C325" s="226"/>
      <c r="D325" s="226"/>
      <c r="E325" s="226"/>
      <c r="F325" s="226"/>
      <c r="G325" s="226"/>
      <c r="H325" s="226"/>
      <c r="I325" s="226"/>
      <c r="J325" s="226"/>
      <c r="K325" s="37">
        <f>+K323*K324</f>
        <v>2111.3616104999992</v>
      </c>
      <c r="L325" s="37">
        <f t="shared" ref="L325:O325" si="58">+L323*L324</f>
        <v>2312.2441616399992</v>
      </c>
      <c r="M325" s="37">
        <f t="shared" si="58"/>
        <v>2530.9045980481496</v>
      </c>
      <c r="N325" s="37">
        <f t="shared" si="58"/>
        <v>2768.8474991614048</v>
      </c>
      <c r="O325" s="37">
        <f t="shared" si="58"/>
        <v>3027.70097390008</v>
      </c>
    </row>
    <row r="326" spans="2:15" ht="12.95" customHeight="1" x14ac:dyDescent="0.2">
      <c r="B326" s="1" t="s">
        <v>202</v>
      </c>
      <c r="K326" s="16">
        <f ca="1">-K163</f>
        <v>-1058.8606962094834</v>
      </c>
      <c r="L326" s="16">
        <f t="shared" ref="L326:O326" ca="1" si="59">-L163</f>
        <v>-984.40625031370291</v>
      </c>
      <c r="M326" s="16">
        <f t="shared" ca="1" si="59"/>
        <v>-893.98728699690002</v>
      </c>
      <c r="N326" s="16">
        <f t="shared" ca="1" si="59"/>
        <v>-784.63110917776919</v>
      </c>
      <c r="O326" s="16">
        <f t="shared" ca="1" si="59"/>
        <v>-652.82001741283852</v>
      </c>
    </row>
    <row r="327" spans="2:15" ht="12.95" customHeight="1" x14ac:dyDescent="0.2">
      <c r="B327" s="4" t="s">
        <v>203</v>
      </c>
      <c r="C327" s="4"/>
      <c r="D327" s="4"/>
      <c r="E327" s="4"/>
      <c r="F327" s="4"/>
      <c r="G327" s="4"/>
      <c r="H327" s="4"/>
      <c r="I327" s="4"/>
      <c r="J327" s="4"/>
      <c r="K327" s="35">
        <f ca="1">+K139</f>
        <v>5.0000000000000142</v>
      </c>
      <c r="L327" s="35">
        <f t="shared" ref="L327:O327" ca="1" si="60">+L139</f>
        <v>5.0000000000000142</v>
      </c>
      <c r="M327" s="35">
        <f t="shared" ca="1" si="60"/>
        <v>5.0000000000000142</v>
      </c>
      <c r="N327" s="35">
        <f t="shared" ca="1" si="60"/>
        <v>5.0000000000000142</v>
      </c>
      <c r="O327" s="35">
        <f t="shared" ca="1" si="60"/>
        <v>5.0000000000000142</v>
      </c>
    </row>
    <row r="328" spans="2:15" ht="12.95" customHeight="1" x14ac:dyDescent="0.2">
      <c r="B328" s="226" t="s">
        <v>204</v>
      </c>
      <c r="C328" s="226"/>
      <c r="D328" s="226"/>
      <c r="E328" s="226"/>
      <c r="F328" s="226"/>
      <c r="G328" s="226"/>
      <c r="H328" s="226"/>
      <c r="I328" s="226"/>
      <c r="J328" s="226"/>
      <c r="K328" s="37">
        <f ca="1">+SUM(K325:K327)</f>
        <v>1057.5009142905158</v>
      </c>
      <c r="L328" s="37">
        <f t="shared" ref="L328:O328" ca="1" si="61">+SUM(L325:L327)</f>
        <v>1332.8379113262963</v>
      </c>
      <c r="M328" s="37">
        <f t="shared" ca="1" si="61"/>
        <v>1641.9173110512497</v>
      </c>
      <c r="N328" s="37">
        <f t="shared" ca="1" si="61"/>
        <v>1989.2163899836355</v>
      </c>
      <c r="O328" s="37">
        <f t="shared" ca="1" si="61"/>
        <v>2379.8809564872417</v>
      </c>
    </row>
    <row r="329" spans="2:15" ht="12.95" customHeight="1" x14ac:dyDescent="0.2">
      <c r="B329" s="3" t="s">
        <v>336</v>
      </c>
      <c r="C329" s="3"/>
      <c r="D329" s="3"/>
      <c r="E329" s="3"/>
      <c r="F329" s="3"/>
      <c r="G329" s="3"/>
      <c r="H329" s="3"/>
      <c r="I329" s="3"/>
      <c r="J329" s="3"/>
      <c r="K329" s="66">
        <f>-$F$52</f>
        <v>969.48648329999969</v>
      </c>
      <c r="L329" s="66">
        <f>-$F$52</f>
        <v>969.48648329999969</v>
      </c>
      <c r="M329" s="66">
        <f>-$F$52</f>
        <v>969.48648329999969</v>
      </c>
      <c r="N329" s="66">
        <f>-$F$52</f>
        <v>969.48648329999969</v>
      </c>
      <c r="O329" s="66">
        <f>-$F$52</f>
        <v>969.48648329999969</v>
      </c>
    </row>
    <row r="330" spans="2:15" ht="12.95" customHeight="1" x14ac:dyDescent="0.2">
      <c r="B330" s="69" t="s">
        <v>207</v>
      </c>
      <c r="C330" s="69"/>
      <c r="D330" s="69"/>
      <c r="E330" s="69"/>
      <c r="F330" s="69"/>
      <c r="G330" s="69"/>
      <c r="H330" s="69"/>
      <c r="I330" s="69"/>
      <c r="J330" s="69"/>
      <c r="K330" s="71">
        <f ca="1">+MAX(SUM(K328:K329),0)</f>
        <v>2026.9873975905155</v>
      </c>
      <c r="L330" s="71">
        <f t="shared" ref="L330:O330" ca="1" si="62">+MAX(SUM(L328:L329),0)</f>
        <v>2302.324394626296</v>
      </c>
      <c r="M330" s="71">
        <f t="shared" ca="1" si="62"/>
        <v>2611.4037943512494</v>
      </c>
      <c r="N330" s="71">
        <f t="shared" ca="1" si="62"/>
        <v>2958.7028732836352</v>
      </c>
      <c r="O330" s="71">
        <f t="shared" ca="1" si="62"/>
        <v>3349.3674397872414</v>
      </c>
    </row>
    <row r="332" spans="2:15" ht="12.95" customHeight="1" x14ac:dyDescent="0.2">
      <c r="F332" s="1" t="s">
        <v>205</v>
      </c>
      <c r="J332" s="250">
        <f>+M28</f>
        <v>0.1</v>
      </c>
      <c r="K332" s="15">
        <f ca="1">+K330*$J$332</f>
        <v>202.69873975905156</v>
      </c>
      <c r="L332" s="15">
        <f t="shared" ref="L332:O332" ca="1" si="63">+L330*$J$332</f>
        <v>230.2324394626296</v>
      </c>
      <c r="M332" s="15">
        <f t="shared" ca="1" si="63"/>
        <v>261.14037943512494</v>
      </c>
      <c r="N332" s="15">
        <f t="shared" ca="1" si="63"/>
        <v>295.87028732836353</v>
      </c>
      <c r="O332" s="15">
        <f t="shared" ca="1" si="63"/>
        <v>334.93674397872417</v>
      </c>
    </row>
    <row r="334" spans="2:15" ht="12.95" customHeight="1" x14ac:dyDescent="0.2">
      <c r="F334" s="1" t="s">
        <v>208</v>
      </c>
      <c r="K334" s="254">
        <f ca="1">+K328-K332</f>
        <v>854.80217453146417</v>
      </c>
      <c r="L334" s="254">
        <f t="shared" ref="L334:O334" ca="1" si="64">+L328-L332</f>
        <v>1102.6054718636667</v>
      </c>
      <c r="M334" s="254">
        <f t="shared" ca="1" si="64"/>
        <v>1380.7769316161248</v>
      </c>
      <c r="N334" s="254">
        <f t="shared" ca="1" si="64"/>
        <v>1693.346102655272</v>
      </c>
      <c r="O334" s="254">
        <f t="shared" ca="1" si="64"/>
        <v>2044.9442125085175</v>
      </c>
    </row>
    <row r="335" spans="2:15" customFormat="1" ht="3" customHeight="1" x14ac:dyDescent="0.25"/>
    <row r="336" spans="2:15"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t="e">
        <f ca="1">+IRR(J338:O338)</f>
        <v>#NUM!</v>
      </c>
      <c r="H338" s="259">
        <f ca="1">+SUM(K338:O338)/-J338</f>
        <v>-0.88170612923022318</v>
      </c>
      <c r="J338" s="255">
        <f>-$F$52</f>
        <v>969.48648329999969</v>
      </c>
      <c r="K338" s="256">
        <f t="shared" ref="K338:O342" ca="1" si="65">+IF(K$322=$F338,K$334,0)</f>
        <v>854.80217453146417</v>
      </c>
      <c r="L338" s="256">
        <f t="shared" si="65"/>
        <v>0</v>
      </c>
      <c r="M338" s="256">
        <f t="shared" si="65"/>
        <v>0</v>
      </c>
      <c r="N338" s="256">
        <f t="shared" si="65"/>
        <v>0</v>
      </c>
      <c r="O338" s="257">
        <f t="shared" si="65"/>
        <v>0</v>
      </c>
    </row>
    <row r="339" spans="6:15" ht="12.95" customHeight="1" x14ac:dyDescent="0.2">
      <c r="F339" s="252">
        <v>2021</v>
      </c>
      <c r="G339" s="258" t="e">
        <f ca="1">+IRR(J339:O339)</f>
        <v>#NUM!</v>
      </c>
      <c r="H339" s="259">
        <f ca="1">+SUM(K339:O339)/-J339</f>
        <v>-1.1373087617586459</v>
      </c>
      <c r="J339" s="104">
        <f>-$F$52</f>
        <v>969.48648329999969</v>
      </c>
      <c r="K339" s="16">
        <f t="shared" si="65"/>
        <v>0</v>
      </c>
      <c r="L339" s="16">
        <f t="shared" ca="1" si="65"/>
        <v>1102.6054718636667</v>
      </c>
      <c r="M339" s="16">
        <f t="shared" si="65"/>
        <v>0</v>
      </c>
      <c r="N339" s="16">
        <f t="shared" si="65"/>
        <v>0</v>
      </c>
      <c r="O339" s="236">
        <f t="shared" si="65"/>
        <v>0</v>
      </c>
    </row>
    <row r="340" spans="6:15" ht="12.95" customHeight="1" x14ac:dyDescent="0.2">
      <c r="F340" s="252">
        <v>2022</v>
      </c>
      <c r="G340" s="258" t="e">
        <f ca="1">+IRR(J340:O340)</f>
        <v>#NUM!</v>
      </c>
      <c r="H340" s="259">
        <f ca="1">+SUM(K340:O340)/-J340</f>
        <v>-1.4242353610915219</v>
      </c>
      <c r="J340" s="104">
        <f>-$F$52</f>
        <v>969.48648329999969</v>
      </c>
      <c r="K340" s="16">
        <f t="shared" si="65"/>
        <v>0</v>
      </c>
      <c r="L340" s="16">
        <f t="shared" si="65"/>
        <v>0</v>
      </c>
      <c r="M340" s="16">
        <f t="shared" ca="1" si="65"/>
        <v>1380.7769316161248</v>
      </c>
      <c r="N340" s="16">
        <f t="shared" si="65"/>
        <v>0</v>
      </c>
      <c r="O340" s="236">
        <f t="shared" si="65"/>
        <v>0</v>
      </c>
    </row>
    <row r="341" spans="6:15" ht="12.95" customHeight="1" x14ac:dyDescent="0.2">
      <c r="F341" s="252">
        <v>2023</v>
      </c>
      <c r="G341" s="258" t="e">
        <f ca="1">+IRR(J341:O341)</f>
        <v>#NUM!</v>
      </c>
      <c r="H341" s="259">
        <f ca="1">+SUM(K341:O341)/-J341</f>
        <v>-1.7466423016970314</v>
      </c>
      <c r="J341" s="104">
        <f>-$F$52</f>
        <v>969.48648329999969</v>
      </c>
      <c r="K341" s="16">
        <f t="shared" si="65"/>
        <v>0</v>
      </c>
      <c r="L341" s="16">
        <f t="shared" si="65"/>
        <v>0</v>
      </c>
      <c r="M341" s="16">
        <f t="shared" si="65"/>
        <v>0</v>
      </c>
      <c r="N341" s="16">
        <f t="shared" ca="1" si="65"/>
        <v>1693.346102655272</v>
      </c>
      <c r="O341" s="236">
        <f t="shared" si="65"/>
        <v>0</v>
      </c>
    </row>
    <row r="342" spans="6:15" ht="12.95" customHeight="1" x14ac:dyDescent="0.2">
      <c r="F342" s="252">
        <v>2024</v>
      </c>
      <c r="G342" s="258" t="e">
        <f ca="1">+IRR(J342:O342)</f>
        <v>#NUM!</v>
      </c>
      <c r="H342" s="259">
        <f ca="1">+SUM(K342:O342)/-J342</f>
        <v>-2.1093065738759003</v>
      </c>
      <c r="J342" s="105">
        <f>-$F$52</f>
        <v>969.48648329999969</v>
      </c>
      <c r="K342" s="66">
        <f t="shared" si="65"/>
        <v>0</v>
      </c>
      <c r="L342" s="66">
        <f t="shared" si="65"/>
        <v>0</v>
      </c>
      <c r="M342" s="66">
        <f t="shared" si="65"/>
        <v>0</v>
      </c>
      <c r="N342" s="66">
        <f t="shared" si="65"/>
        <v>0</v>
      </c>
      <c r="O342" s="237">
        <f t="shared" ca="1" si="65"/>
        <v>2044.9442125085175</v>
      </c>
    </row>
  </sheetData>
  <conditionalFormatting sqref="A1:A1048576">
    <cfRule type="expression" dxfId="3" priority="1">
      <formula>$E$13&gt;0</formula>
    </cfRule>
  </conditionalFormatting>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D2381-8894-4DE7-B48B-4C02F0BDD346}">
  <dimension ref="A2:X342"/>
  <sheetViews>
    <sheetView showGridLines="0" zoomScale="85" zoomScaleNormal="85" zoomScaleSheetLayoutView="85" workbookViewId="0"/>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f ca="1">+SUM(E168:O168)</f>
        <v>0</v>
      </c>
      <c r="I10" s="1" t="s">
        <v>184</v>
      </c>
      <c r="K10" s="15">
        <f ca="1">+(K88-K79)-(J88-J79)</f>
        <v>-64.461030387004712</v>
      </c>
      <c r="L10" s="15">
        <f t="shared" ref="L10:O10" ca="1" si="0">+(L88-L79)-(K88-K79)</f>
        <v>-70.197908553849174</v>
      </c>
      <c r="M10" s="15">
        <f t="shared" ca="1" si="0"/>
        <v>-85.985586215961348</v>
      </c>
      <c r="N10" s="15">
        <f t="shared" ca="1" si="0"/>
        <v>-103.63514896641868</v>
      </c>
      <c r="O10" s="15">
        <f t="shared" ca="1" si="0"/>
        <v>-124.68159734965798</v>
      </c>
    </row>
    <row r="11" spans="1:15" ht="12.95" customHeight="1" x14ac:dyDescent="0.2">
      <c r="B11" s="1" t="s">
        <v>188</v>
      </c>
      <c r="E11" s="14">
        <f ca="1">+SUM(K264:O264)</f>
        <v>0</v>
      </c>
      <c r="I11" s="1" t="s">
        <v>109</v>
      </c>
      <c r="K11" s="16">
        <f ca="1">-K316</f>
        <v>-16.223889166666662</v>
      </c>
      <c r="L11" s="16">
        <f t="shared" ref="L11:O11" ca="1" si="1">-L316</f>
        <v>-17.575879930555548</v>
      </c>
      <c r="M11" s="16">
        <f t="shared" ca="1" si="1"/>
        <v>-19.040536591435178</v>
      </c>
      <c r="N11" s="16">
        <f t="shared" ca="1" si="1"/>
        <v>-20.49229246261693</v>
      </c>
      <c r="O11" s="16">
        <f t="shared" ca="1" si="1"/>
        <v>-16.195162976154954</v>
      </c>
    </row>
    <row r="12" spans="1:15" ht="12.95" customHeight="1" x14ac:dyDescent="0.2">
      <c r="B12" s="1" t="s">
        <v>189</v>
      </c>
      <c r="E12" s="16">
        <f ca="1">+SUM(K13:O13)</f>
        <v>0</v>
      </c>
      <c r="I12" s="1" t="s">
        <v>185</v>
      </c>
      <c r="K12" s="16">
        <f ca="1">+K75</f>
        <v>80.684919553671506</v>
      </c>
      <c r="L12" s="16">
        <f t="shared" ref="L12:O12" ca="1" si="2">+L75</f>
        <v>87.77378848440469</v>
      </c>
      <c r="M12" s="16">
        <f t="shared" ca="1" si="2"/>
        <v>105.02612280739638</v>
      </c>
      <c r="N12" s="16">
        <f t="shared" ca="1" si="2"/>
        <v>124.12744142903557</v>
      </c>
      <c r="O12" s="16">
        <f t="shared" ca="1" si="2"/>
        <v>140.87676032581294</v>
      </c>
    </row>
    <row r="13" spans="1:15" ht="12.95" customHeight="1" x14ac:dyDescent="0.2">
      <c r="B13" s="17" t="s">
        <v>190</v>
      </c>
      <c r="C13" s="18"/>
      <c r="D13" s="18"/>
      <c r="E13" s="19">
        <f ca="1">SUM(E10:E12)</f>
        <v>0</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8"/>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-150</v>
      </c>
      <c r="F22" s="25"/>
      <c r="G22" s="25"/>
      <c r="H22" s="25" t="s">
        <v>130</v>
      </c>
      <c r="I22" s="25"/>
      <c r="J22" s="25"/>
      <c r="K22" s="25"/>
      <c r="L22" s="25"/>
      <c r="M22" s="45">
        <v>0.02</v>
      </c>
    </row>
    <row r="23" spans="2:15" ht="12.95" customHeight="1" x14ac:dyDescent="0.2">
      <c r="B23" s="33" t="s">
        <v>132</v>
      </c>
      <c r="C23" s="33"/>
      <c r="D23" s="33"/>
      <c r="E23" s="35">
        <f>+G139</f>
        <v>100</v>
      </c>
      <c r="F23" s="25"/>
      <c r="G23" s="25"/>
    </row>
    <row r="24" spans="2:15" ht="12.95" customHeight="1" x14ac:dyDescent="0.2">
      <c r="B24" s="36" t="s">
        <v>133</v>
      </c>
      <c r="C24" s="36"/>
      <c r="D24" s="36"/>
      <c r="E24" s="37">
        <f>+SUM(E21:E23)</f>
        <v>1896.8666999999994</v>
      </c>
      <c r="F24" s="25"/>
      <c r="G24" s="25"/>
      <c r="H24" s="1" t="s">
        <v>137</v>
      </c>
      <c r="M24" s="264">
        <f>+E19</f>
        <v>194.68666999999994</v>
      </c>
    </row>
    <row r="25" spans="2:15" ht="12.95" customHeight="1" x14ac:dyDescent="0.2">
      <c r="E25" s="109"/>
      <c r="F25" s="25"/>
      <c r="G25" s="25"/>
    </row>
    <row r="26" spans="2:15" ht="12.95" customHeight="1" x14ac:dyDescent="0.2">
      <c r="B26" s="24" t="s">
        <v>142</v>
      </c>
      <c r="H26" s="1" t="s">
        <v>138</v>
      </c>
      <c r="M26" s="245">
        <v>100</v>
      </c>
    </row>
    <row r="27" spans="2:15" ht="12.95" customHeight="1" x14ac:dyDescent="0.2">
      <c r="B27" s="1" t="s">
        <v>139</v>
      </c>
      <c r="E27" s="15">
        <f>+E24</f>
        <v>1896.8666999999994</v>
      </c>
    </row>
    <row r="28" spans="2:15" ht="12.95" customHeight="1" x14ac:dyDescent="0.2">
      <c r="B28" s="4" t="s">
        <v>140</v>
      </c>
      <c r="C28" s="4"/>
      <c r="D28" s="4"/>
      <c r="E28" s="35">
        <f>-G165</f>
        <v>-163.117577826229</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9" ht="12.95" customHeight="1" x14ac:dyDescent="0.2">
      <c r="H33" s="29" t="s">
        <v>152</v>
      </c>
      <c r="I33" s="29" t="s">
        <v>154</v>
      </c>
      <c r="J33" s="29" t="s">
        <v>153</v>
      </c>
      <c r="K33" s="13">
        <f>+$K$103</f>
        <v>2020</v>
      </c>
      <c r="L33" s="13">
        <f>+$L$103</f>
        <v>2021</v>
      </c>
      <c r="M33" s="13">
        <f>+$M$103</f>
        <v>2022</v>
      </c>
      <c r="N33" s="13">
        <f>+$N$103</f>
        <v>2023</v>
      </c>
      <c r="O33" s="13">
        <f>+$O$103</f>
        <v>2024</v>
      </c>
    </row>
    <row r="34" spans="1:19" ht="12.95" customHeight="1" x14ac:dyDescent="0.2">
      <c r="F34" s="1" t="str">
        <f>+B48</f>
        <v>Revolving Credit Facility</v>
      </c>
      <c r="H34" s="32">
        <v>5</v>
      </c>
      <c r="I34" s="246">
        <f>+J34/H34</f>
        <v>0.4</v>
      </c>
      <c r="J34" s="246">
        <f>+$M$26*M22</f>
        <v>2</v>
      </c>
      <c r="K34" s="247">
        <f t="shared" ref="K34:O37" si="4">+MAX(J34-$I34,0)</f>
        <v>1.6</v>
      </c>
      <c r="L34" s="247">
        <f t="shared" si="4"/>
        <v>1.2000000000000002</v>
      </c>
      <c r="M34" s="247">
        <f t="shared" si="4"/>
        <v>0.80000000000000016</v>
      </c>
      <c r="N34" s="247">
        <f t="shared" si="4"/>
        <v>0.40000000000000013</v>
      </c>
      <c r="O34" s="247">
        <f t="shared" si="4"/>
        <v>1.1102230246251565E-16</v>
      </c>
    </row>
    <row r="35" spans="1:19" ht="12.95" customHeight="1" x14ac:dyDescent="0.2">
      <c r="F35" s="1" t="str">
        <f>+B49</f>
        <v>First Lien Term Loan</v>
      </c>
      <c r="H35" s="34">
        <v>5</v>
      </c>
      <c r="I35" s="248">
        <f>+J35/H35</f>
        <v>1.5574933599999996</v>
      </c>
      <c r="J35" s="249">
        <f>+$M$22*F49</f>
        <v>7.787466799999998</v>
      </c>
      <c r="K35" s="249">
        <f t="shared" si="4"/>
        <v>6.2299734399999984</v>
      </c>
      <c r="L35" s="249">
        <f t="shared" si="4"/>
        <v>4.6724800799999988</v>
      </c>
      <c r="M35" s="249">
        <f t="shared" si="4"/>
        <v>3.1149867199999992</v>
      </c>
      <c r="N35" s="249">
        <f t="shared" si="4"/>
        <v>1.5574933599999996</v>
      </c>
      <c r="O35" s="249">
        <f t="shared" si="4"/>
        <v>0</v>
      </c>
    </row>
    <row r="36" spans="1:19" ht="12.95" customHeight="1" x14ac:dyDescent="0.2">
      <c r="F36" s="1" t="str">
        <f>+B50</f>
        <v>Second Lien Term Loan</v>
      </c>
      <c r="G36" s="25"/>
      <c r="H36" s="34">
        <v>7</v>
      </c>
      <c r="I36" s="248">
        <f>+J36/H36</f>
        <v>0.5562476285714284</v>
      </c>
      <c r="J36" s="249">
        <f>+$M$22*F50</f>
        <v>3.893733399999999</v>
      </c>
      <c r="K36" s="249">
        <f t="shared" si="4"/>
        <v>3.3374857714285708</v>
      </c>
      <c r="L36" s="249">
        <f t="shared" si="4"/>
        <v>2.7812381428571422</v>
      </c>
      <c r="M36" s="249">
        <f t="shared" si="4"/>
        <v>2.2249905142857136</v>
      </c>
      <c r="N36" s="249">
        <f t="shared" si="4"/>
        <v>1.6687428857142852</v>
      </c>
      <c r="O36" s="249">
        <f t="shared" si="4"/>
        <v>1.1124952571428568</v>
      </c>
    </row>
    <row r="37" spans="1:19" ht="12.95" customHeight="1" x14ac:dyDescent="0.2">
      <c r="F37" s="1" t="str">
        <f>+B51</f>
        <v>Notes</v>
      </c>
      <c r="G37" s="25"/>
      <c r="H37" s="34">
        <v>10</v>
      </c>
      <c r="I37" s="248">
        <f>+J37/H37</f>
        <v>0.97343334999999964</v>
      </c>
      <c r="J37" s="249">
        <f>+$M$22*F51</f>
        <v>9.7343334999999964</v>
      </c>
      <c r="K37" s="249">
        <f t="shared" si="4"/>
        <v>8.7609001499999977</v>
      </c>
      <c r="L37" s="249">
        <f t="shared" si="4"/>
        <v>7.787466799999998</v>
      </c>
      <c r="M37" s="249">
        <f t="shared" si="4"/>
        <v>6.8140334499999984</v>
      </c>
      <c r="N37" s="249">
        <f t="shared" si="4"/>
        <v>5.8406000999999987</v>
      </c>
      <c r="O37" s="249">
        <f t="shared" si="4"/>
        <v>4.8671667499999991</v>
      </c>
    </row>
    <row r="38" spans="1:19" ht="12.95" customHeight="1" x14ac:dyDescent="0.2">
      <c r="F38" s="25"/>
      <c r="G38" s="25"/>
      <c r="H38" s="25"/>
      <c r="I38" s="25"/>
      <c r="K38" s="38"/>
      <c r="L38" s="38"/>
      <c r="M38" s="38"/>
      <c r="N38" s="38"/>
      <c r="O38" s="38"/>
    </row>
    <row r="39" spans="1:19" ht="12.95" customHeight="1" x14ac:dyDescent="0.2">
      <c r="F39" s="25"/>
      <c r="G39" s="25"/>
      <c r="H39" s="20" t="s">
        <v>90</v>
      </c>
      <c r="I39" s="18"/>
      <c r="J39" s="39">
        <f t="shared" ref="J39:O39" si="5">SUM(J34:J38)</f>
        <v>23.41553369999999</v>
      </c>
      <c r="K39" s="22">
        <f t="shared" si="5"/>
        <v>19.928359361428566</v>
      </c>
      <c r="L39" s="22">
        <f t="shared" si="5"/>
        <v>16.441185022857137</v>
      </c>
      <c r="M39" s="22">
        <f t="shared" si="5"/>
        <v>12.954010684285711</v>
      </c>
      <c r="N39" s="22">
        <f t="shared" si="5"/>
        <v>9.4668363457142846</v>
      </c>
      <c r="O39" s="23">
        <f t="shared" si="5"/>
        <v>5.9796620071428563</v>
      </c>
    </row>
    <row r="40" spans="1:19"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9" ht="13.5" thickBot="1" x14ac:dyDescent="0.25">
      <c r="A42" s="1" t="s">
        <v>39</v>
      </c>
      <c r="B42" s="47" t="str">
        <f>+E4</f>
        <v>Gooey Cookies</v>
      </c>
      <c r="C42" s="48"/>
      <c r="D42" s="48"/>
      <c r="E42" s="48"/>
      <c r="F42" s="48"/>
      <c r="G42" s="48"/>
      <c r="H42" s="48"/>
      <c r="I42" s="48"/>
      <c r="J42" s="48"/>
      <c r="K42" s="48"/>
      <c r="L42" s="48"/>
      <c r="M42" s="48"/>
      <c r="N42" s="48"/>
      <c r="O42" s="48"/>
    </row>
    <row r="43" spans="1:19" ht="12.95" customHeight="1" x14ac:dyDescent="0.2">
      <c r="B43" s="49" t="s">
        <v>4</v>
      </c>
      <c r="C43" s="4"/>
      <c r="D43" s="4"/>
      <c r="E43" s="4"/>
      <c r="F43" s="4"/>
      <c r="G43" s="4"/>
      <c r="H43" s="4"/>
      <c r="I43" s="4"/>
      <c r="J43" s="4"/>
      <c r="K43" s="4"/>
      <c r="L43" s="4"/>
      <c r="M43" s="4"/>
      <c r="N43" s="4"/>
      <c r="O43" s="4"/>
    </row>
    <row r="44" spans="1:19" ht="12.95" customHeight="1" x14ac:dyDescent="0.2">
      <c r="B44" s="4"/>
      <c r="C44" s="4"/>
      <c r="D44" s="4"/>
      <c r="E44" s="4"/>
      <c r="F44" s="4"/>
      <c r="G44" s="4"/>
      <c r="H44" s="4"/>
      <c r="I44" s="4"/>
      <c r="J44" s="4"/>
      <c r="K44" s="4"/>
      <c r="L44" s="4"/>
      <c r="M44" s="4"/>
      <c r="N44" s="4"/>
      <c r="O44" s="4"/>
    </row>
    <row r="45" spans="1:19" ht="12.95" customHeight="1" x14ac:dyDescent="0.2">
      <c r="A45" s="1" t="s">
        <v>39</v>
      </c>
      <c r="B45" s="50" t="s">
        <v>105</v>
      </c>
      <c r="C45" s="51"/>
      <c r="D45" s="51"/>
      <c r="E45" s="51"/>
      <c r="F45" s="51"/>
      <c r="G45" s="51"/>
      <c r="H45" s="51"/>
      <c r="I45" s="51"/>
      <c r="J45" s="51"/>
      <c r="K45" s="51"/>
      <c r="L45" s="51"/>
      <c r="M45" s="51"/>
      <c r="N45" s="51"/>
      <c r="O45" s="51"/>
      <c r="Q45" s="20" t="s">
        <v>304</v>
      </c>
      <c r="R45" s="18"/>
      <c r="S45" s="292"/>
    </row>
    <row r="46" spans="1:19" ht="12.95" customHeight="1" x14ac:dyDescent="0.2">
      <c r="B46" s="4"/>
      <c r="C46" s="4"/>
      <c r="D46" s="4"/>
      <c r="E46" s="4"/>
      <c r="F46" s="4"/>
      <c r="G46" s="4"/>
      <c r="H46" s="4"/>
      <c r="I46" s="4"/>
      <c r="J46" s="4"/>
      <c r="K46" s="4"/>
      <c r="L46" s="4"/>
      <c r="M46" s="4"/>
      <c r="N46" s="4"/>
      <c r="O46" s="4"/>
      <c r="Q46" s="4" t="s">
        <v>183</v>
      </c>
      <c r="R46" s="4"/>
      <c r="S46" s="200">
        <f>+M48</f>
        <v>1896.8666999999994</v>
      </c>
    </row>
    <row r="47" spans="1:19" ht="12.95" customHeight="1" x14ac:dyDescent="0.2">
      <c r="B47" s="2" t="s">
        <v>5</v>
      </c>
      <c r="C47" s="3"/>
      <c r="D47" s="3"/>
      <c r="E47" s="2" t="s">
        <v>134</v>
      </c>
      <c r="F47" s="29" t="s">
        <v>135</v>
      </c>
      <c r="G47" s="29" t="s">
        <v>136</v>
      </c>
      <c r="I47" s="2" t="s">
        <v>6</v>
      </c>
      <c r="J47" s="3"/>
      <c r="K47" s="3"/>
      <c r="L47" s="3"/>
      <c r="M47" s="29" t="s">
        <v>135</v>
      </c>
      <c r="Q47" s="1" t="s">
        <v>306</v>
      </c>
      <c r="S47" s="38">
        <f>+M49</f>
        <v>50</v>
      </c>
    </row>
    <row r="48" spans="1:19" ht="12.95" customHeight="1" x14ac:dyDescent="0.2">
      <c r="B48" s="52" t="s">
        <v>7</v>
      </c>
      <c r="C48" s="4"/>
      <c r="D48" s="4"/>
      <c r="E48" s="53">
        <v>0</v>
      </c>
      <c r="F48" s="54">
        <f>+E48*$M$24</f>
        <v>0</v>
      </c>
      <c r="G48" s="55">
        <f>+F48/F$53</f>
        <v>0</v>
      </c>
      <c r="I48" s="4" t="s">
        <v>13</v>
      </c>
      <c r="J48" s="4"/>
      <c r="K48" s="4"/>
      <c r="L48" s="4"/>
      <c r="M48" s="289">
        <f>+E24</f>
        <v>1896.8666999999994</v>
      </c>
      <c r="Q48" s="20" t="s">
        <v>201</v>
      </c>
      <c r="R48" s="21"/>
      <c r="S48" s="173">
        <f>SUM(S46:S47)</f>
        <v>1946.8666999999994</v>
      </c>
    </row>
    <row r="49" spans="1:15" ht="12.95" customHeight="1" x14ac:dyDescent="0.2">
      <c r="B49" s="56" t="s">
        <v>8</v>
      </c>
      <c r="E49" s="57">
        <v>2</v>
      </c>
      <c r="F49" s="16">
        <f>+E49*$M$24</f>
        <v>389.37333999999987</v>
      </c>
      <c r="G49" s="58">
        <f>+F49/F$53</f>
        <v>0.19010913650063355</v>
      </c>
      <c r="I49" s="1" t="s">
        <v>297</v>
      </c>
      <c r="M49" s="287">
        <f>-SUM(E22:E23)</f>
        <v>50</v>
      </c>
    </row>
    <row r="50" spans="1:15" ht="12.95" customHeight="1" x14ac:dyDescent="0.2">
      <c r="B50" s="56" t="s">
        <v>9</v>
      </c>
      <c r="E50" s="57">
        <v>1</v>
      </c>
      <c r="F50" s="16">
        <f>+E50*$M$24</f>
        <v>194.68666999999994</v>
      </c>
      <c r="G50" s="58">
        <f>+F50/F$53</f>
        <v>9.5054568250316773E-2</v>
      </c>
      <c r="I50" s="33" t="s">
        <v>14</v>
      </c>
      <c r="M50" s="16">
        <f>+SUM(J34:J37)</f>
        <v>23.41553369999999</v>
      </c>
    </row>
    <row r="51" spans="1:15" ht="12.95" customHeight="1" x14ac:dyDescent="0.2">
      <c r="B51" s="59" t="s">
        <v>10</v>
      </c>
      <c r="C51" s="60"/>
      <c r="D51" s="60"/>
      <c r="E51" s="61">
        <v>2.5</v>
      </c>
      <c r="F51" s="62">
        <f>+E51*$M$24</f>
        <v>486.71667499999984</v>
      </c>
      <c r="G51" s="63">
        <f>+F51/F$53</f>
        <v>0.23763642062579196</v>
      </c>
      <c r="I51" s="33" t="s">
        <v>15</v>
      </c>
      <c r="M51" s="16">
        <f>+M21*E21</f>
        <v>77.874667999999971</v>
      </c>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141">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f>+H104</f>
        <v>900</v>
      </c>
      <c r="I59" s="71">
        <f t="shared" ref="I59:O59" si="6">+I104</f>
        <v>963</v>
      </c>
      <c r="J59" s="271">
        <f t="shared" si="6"/>
        <v>1030.4100000000001</v>
      </c>
      <c r="K59" s="71">
        <f t="shared" si="6"/>
        <v>1102.5387000000001</v>
      </c>
      <c r="L59" s="71">
        <f t="shared" si="6"/>
        <v>1179.7164090000001</v>
      </c>
      <c r="M59" s="71">
        <f t="shared" si="6"/>
        <v>1262.2965576300003</v>
      </c>
      <c r="N59" s="71">
        <f t="shared" si="6"/>
        <v>1350.6573166641003</v>
      </c>
      <c r="O59" s="71">
        <f t="shared" si="6"/>
        <v>1445.2033288305875</v>
      </c>
    </row>
    <row r="60" spans="1:15" s="78" customFormat="1" ht="12.95" customHeight="1" x14ac:dyDescent="0.2">
      <c r="B60" s="268" t="s">
        <v>294</v>
      </c>
      <c r="I60" s="79">
        <f>+I59/H59-1</f>
        <v>7.0000000000000062E-2</v>
      </c>
      <c r="J60" s="272">
        <f t="shared" ref="J60:O60" si="7">+J59/I59-1</f>
        <v>7.0000000000000062E-2</v>
      </c>
      <c r="K60" s="269">
        <f t="shared" si="7"/>
        <v>7.0000000000000062E-2</v>
      </c>
      <c r="L60" s="79">
        <f t="shared" si="7"/>
        <v>7.0000000000000062E-2</v>
      </c>
      <c r="M60" s="79">
        <f t="shared" si="7"/>
        <v>7.0000000000000062E-2</v>
      </c>
      <c r="N60" s="79">
        <f t="shared" si="7"/>
        <v>7.0000000000000062E-2</v>
      </c>
      <c r="O60" s="79">
        <f t="shared" si="7"/>
        <v>7.0000000000000062E-2</v>
      </c>
    </row>
    <row r="61" spans="1:15" ht="12.95" customHeight="1" x14ac:dyDescent="0.2">
      <c r="B61" s="76" t="s">
        <v>160</v>
      </c>
      <c r="C61" s="76"/>
      <c r="D61" s="76"/>
      <c r="E61" s="76"/>
      <c r="F61" s="76"/>
      <c r="G61" s="76"/>
      <c r="H61" s="31">
        <f>+H120</f>
        <v>173.49999999999997</v>
      </c>
      <c r="I61" s="31">
        <f t="shared" ref="I61:O61" si="8">+I120</f>
        <v>184.11799999999999</v>
      </c>
      <c r="J61" s="271">
        <f t="shared" si="8"/>
        <v>194.68666999999994</v>
      </c>
      <c r="K61" s="71">
        <f t="shared" si="8"/>
        <v>211.13616104999991</v>
      </c>
      <c r="L61" s="31">
        <f t="shared" si="8"/>
        <v>231.22441616399993</v>
      </c>
      <c r="M61" s="31">
        <f t="shared" si="8"/>
        <v>253.09045980481494</v>
      </c>
      <c r="N61" s="31">
        <f t="shared" si="8"/>
        <v>276.88474991614049</v>
      </c>
      <c r="O61" s="31">
        <f t="shared" si="8"/>
        <v>302.770097390008</v>
      </c>
    </row>
    <row r="62" spans="1:15" s="78" customFormat="1" ht="12.95" customHeight="1" x14ac:dyDescent="0.2">
      <c r="B62" s="268" t="s">
        <v>295</v>
      </c>
      <c r="H62" s="79">
        <f>+H61/H59</f>
        <v>0.19277777777777774</v>
      </c>
      <c r="I62" s="79">
        <f t="shared" ref="I62:O62" si="9">+I61/I59</f>
        <v>0.19119210799584632</v>
      </c>
      <c r="J62" s="272">
        <f t="shared" si="9"/>
        <v>0.18894097495171816</v>
      </c>
      <c r="K62" s="269">
        <f t="shared" si="9"/>
        <v>0.19149999999999992</v>
      </c>
      <c r="L62" s="79">
        <f t="shared" si="9"/>
        <v>0.19599999999999992</v>
      </c>
      <c r="M62" s="79">
        <f t="shared" si="9"/>
        <v>0.2004999999999999</v>
      </c>
      <c r="N62" s="79">
        <f t="shared" si="9"/>
        <v>0.20499999999999993</v>
      </c>
      <c r="O62" s="79">
        <f t="shared" si="9"/>
        <v>0.20949999999999996</v>
      </c>
    </row>
    <row r="63" spans="1:15" ht="12.95" customHeight="1" x14ac:dyDescent="0.2">
      <c r="J63" s="131"/>
      <c r="K63" s="4"/>
    </row>
    <row r="64" spans="1:15" ht="12.95" customHeight="1" x14ac:dyDescent="0.2">
      <c r="B64" s="1" t="s">
        <v>162</v>
      </c>
      <c r="J64" s="131"/>
      <c r="K64" s="54">
        <f ca="1">+K315-K306</f>
        <v>68.230865912273998</v>
      </c>
      <c r="L64" s="15">
        <f t="shared" ref="L64:O64" ca="1" si="10">+L315-L306</f>
        <v>63.710751441226918</v>
      </c>
      <c r="M64" s="15">
        <f t="shared" ca="1" si="10"/>
        <v>58.408753880702392</v>
      </c>
      <c r="N64" s="15">
        <f t="shared" ca="1" si="10"/>
        <v>52.196101501749489</v>
      </c>
      <c r="O64" s="15">
        <f t="shared" ca="1" si="10"/>
        <v>48.871667499999987</v>
      </c>
    </row>
    <row r="65" spans="2:15" ht="12.95" customHeight="1" x14ac:dyDescent="0.2">
      <c r="B65" s="1" t="s">
        <v>71</v>
      </c>
      <c r="J65" s="131"/>
      <c r="K65" s="54">
        <f>+K123</f>
        <v>45.755356050000003</v>
      </c>
      <c r="L65" s="15">
        <f t="shared" ref="L65:O65" si="11">+L123</f>
        <v>49.548089178000005</v>
      </c>
      <c r="M65" s="15">
        <f t="shared" si="11"/>
        <v>53.647603699275017</v>
      </c>
      <c r="N65" s="15">
        <f t="shared" si="11"/>
        <v>58.078264616556318</v>
      </c>
      <c r="O65" s="15">
        <f t="shared" si="11"/>
        <v>62.866344804130563</v>
      </c>
    </row>
    <row r="66" spans="2:15" s="78" customFormat="1" ht="12.95" customHeight="1" x14ac:dyDescent="0.2">
      <c r="B66" s="268" t="s">
        <v>293</v>
      </c>
      <c r="J66" s="273"/>
      <c r="K66" s="269">
        <f>+K65/K59</f>
        <v>4.1500000000000002E-2</v>
      </c>
      <c r="L66" s="79">
        <f t="shared" ref="L66:O66" si="12">+L65/L59</f>
        <v>4.2000000000000003E-2</v>
      </c>
      <c r="M66" s="79">
        <f t="shared" si="12"/>
        <v>4.2500000000000003E-2</v>
      </c>
      <c r="N66" s="79">
        <f t="shared" si="12"/>
        <v>4.3000000000000003E-2</v>
      </c>
      <c r="O66" s="79">
        <f t="shared" si="12"/>
        <v>4.3500000000000004E-2</v>
      </c>
    </row>
    <row r="67" spans="2:15" ht="12.95" customHeight="1" x14ac:dyDescent="0.2">
      <c r="J67" s="131"/>
      <c r="K67" s="4"/>
    </row>
    <row r="68" spans="2:15" ht="12.95" customHeight="1" x14ac:dyDescent="0.35">
      <c r="J68" s="274"/>
      <c r="K68" s="10" t="str">
        <f>+$K$32</f>
        <v>Fiscal Year Ended 12/31</v>
      </c>
      <c r="L68" s="85"/>
      <c r="M68" s="85"/>
      <c r="N68" s="85"/>
      <c r="O68" s="85"/>
    </row>
    <row r="69" spans="2:15" ht="12.95" customHeight="1" x14ac:dyDescent="0.2">
      <c r="B69" s="24" t="s">
        <v>180</v>
      </c>
      <c r="J69" s="275"/>
      <c r="K69" s="118">
        <f>+$K$103</f>
        <v>2020</v>
      </c>
      <c r="L69" s="13">
        <f>+$L$103</f>
        <v>2021</v>
      </c>
      <c r="M69" s="13">
        <f>+$M$103</f>
        <v>2022</v>
      </c>
      <c r="N69" s="13">
        <f>+$N$103</f>
        <v>2023</v>
      </c>
      <c r="O69" s="13">
        <f>+$O$103</f>
        <v>2024</v>
      </c>
    </row>
    <row r="70" spans="2:15" ht="12.95" customHeight="1" x14ac:dyDescent="0.2">
      <c r="B70" s="1" t="s">
        <v>35</v>
      </c>
      <c r="J70" s="276"/>
      <c r="K70" s="221">
        <f>+K118</f>
        <v>211.13616104999991</v>
      </c>
      <c r="L70" s="54">
        <f t="shared" ref="L70:O70" si="13">+L118</f>
        <v>231.22441616399993</v>
      </c>
      <c r="M70" s="54">
        <f t="shared" si="13"/>
        <v>253.09045980481494</v>
      </c>
      <c r="N70" s="54">
        <f t="shared" si="13"/>
        <v>276.88474991614049</v>
      </c>
      <c r="O70" s="54">
        <f t="shared" si="13"/>
        <v>302.770097390008</v>
      </c>
    </row>
    <row r="71" spans="2:15" ht="12.95" customHeight="1" x14ac:dyDescent="0.2">
      <c r="B71" s="1" t="s">
        <v>163</v>
      </c>
      <c r="J71" s="277"/>
      <c r="K71" s="35">
        <f ca="1">-K64</f>
        <v>-68.230865912273998</v>
      </c>
      <c r="L71" s="35">
        <f t="shared" ref="L71:O71" ca="1" si="14">-L64</f>
        <v>-63.710751441226918</v>
      </c>
      <c r="M71" s="35">
        <f t="shared" ca="1" si="14"/>
        <v>-58.408753880702392</v>
      </c>
      <c r="N71" s="35">
        <f t="shared" ca="1" si="14"/>
        <v>-52.196101501749489</v>
      </c>
      <c r="O71" s="35">
        <f t="shared" ca="1" si="14"/>
        <v>-48.871667499999987</v>
      </c>
    </row>
    <row r="72" spans="2:15" ht="12.95" customHeight="1" x14ac:dyDescent="0.2">
      <c r="B72" s="1" t="s">
        <v>181</v>
      </c>
      <c r="J72" s="277"/>
      <c r="K72" s="35">
        <f ca="1">+K112</f>
        <v>-21.137417868446832</v>
      </c>
      <c r="L72" s="35">
        <f t="shared" ref="L72:O72" ca="1" si="15">+L112</f>
        <v>-26.114834330687973</v>
      </c>
      <c r="M72" s="35">
        <f t="shared" ca="1" si="15"/>
        <v>-31.632154499115547</v>
      </c>
      <c r="N72" s="35">
        <f t="shared" ca="1" si="15"/>
        <v>-37.786380223793373</v>
      </c>
      <c r="O72" s="35">
        <f t="shared" ca="1" si="15"/>
        <v>-45.114563718743199</v>
      </c>
    </row>
    <row r="73" spans="2:15" ht="12.95" customHeight="1" x14ac:dyDescent="0.2">
      <c r="B73" s="1" t="s">
        <v>164</v>
      </c>
      <c r="J73" s="278"/>
      <c r="K73" s="35">
        <f>+K207</f>
        <v>4.6723983343924207</v>
      </c>
      <c r="L73" s="35">
        <f t="shared" ref="L73:O73" si="16">+L207</f>
        <v>-4.0769527296803361</v>
      </c>
      <c r="M73" s="35">
        <f t="shared" si="16"/>
        <v>-4.3758249183255966</v>
      </c>
      <c r="N73" s="35">
        <f t="shared" si="16"/>
        <v>-4.6965621450057498</v>
      </c>
      <c r="O73" s="35">
        <f t="shared" si="16"/>
        <v>-5.0407610413213053</v>
      </c>
    </row>
    <row r="74" spans="2:15" ht="12.95" customHeight="1" x14ac:dyDescent="0.2">
      <c r="B74" s="4" t="s">
        <v>165</v>
      </c>
      <c r="C74" s="4"/>
      <c r="D74" s="4"/>
      <c r="E74" s="4"/>
      <c r="F74" s="4"/>
      <c r="G74" s="4"/>
      <c r="H74" s="4"/>
      <c r="I74" s="4"/>
      <c r="J74" s="278"/>
      <c r="K74" s="35">
        <f>-K65</f>
        <v>-45.755356050000003</v>
      </c>
      <c r="L74" s="35">
        <f t="shared" ref="L74:O74" si="17">-L65</f>
        <v>-49.548089178000005</v>
      </c>
      <c r="M74" s="35">
        <f t="shared" si="17"/>
        <v>-53.647603699275017</v>
      </c>
      <c r="N74" s="35">
        <f t="shared" si="17"/>
        <v>-58.078264616556318</v>
      </c>
      <c r="O74" s="35">
        <f t="shared" si="17"/>
        <v>-62.866344804130563</v>
      </c>
    </row>
    <row r="75" spans="2:15" s="4" customFormat="1" ht="12.95" customHeight="1" x14ac:dyDescent="0.2">
      <c r="B75" s="282" t="s">
        <v>166</v>
      </c>
      <c r="C75" s="94"/>
      <c r="D75" s="94"/>
      <c r="E75" s="94"/>
      <c r="F75" s="94"/>
      <c r="G75" s="94"/>
      <c r="H75" s="94"/>
      <c r="I75" s="94"/>
      <c r="J75" s="279"/>
      <c r="K75" s="234">
        <f ca="1">SUM(K70:K74)</f>
        <v>80.684919553671506</v>
      </c>
      <c r="L75" s="234">
        <f t="shared" ref="L75:O75" ca="1" si="18">SUM(L70:L74)</f>
        <v>87.77378848440469</v>
      </c>
      <c r="M75" s="234">
        <f t="shared" ca="1" si="18"/>
        <v>105.02612280739638</v>
      </c>
      <c r="N75" s="234">
        <f t="shared" ca="1" si="18"/>
        <v>124.12744142903557</v>
      </c>
      <c r="O75" s="235">
        <f t="shared" ca="1" si="18"/>
        <v>140.87676032581294</v>
      </c>
    </row>
    <row r="76" spans="2:15" s="4" customFormat="1" ht="12.95" customHeight="1" x14ac:dyDescent="0.2">
      <c r="B76" s="40" t="s">
        <v>167</v>
      </c>
      <c r="C76" s="2"/>
      <c r="D76" s="2"/>
      <c r="E76" s="2"/>
      <c r="F76" s="2"/>
      <c r="G76" s="2"/>
      <c r="H76" s="2"/>
      <c r="I76" s="2"/>
      <c r="J76" s="280"/>
      <c r="K76" s="42">
        <f ca="1">+K75</f>
        <v>80.684919553671506</v>
      </c>
      <c r="L76" s="42">
        <f ca="1">+K76+L75</f>
        <v>168.4587080380762</v>
      </c>
      <c r="M76" s="42">
        <f t="shared" ref="M76:O76" ca="1" si="19">+L76+M75</f>
        <v>273.48483084547257</v>
      </c>
      <c r="N76" s="42">
        <f t="shared" ca="1" si="19"/>
        <v>397.61227227450814</v>
      </c>
      <c r="O76" s="43">
        <f t="shared" ca="1" si="19"/>
        <v>538.48903260032102</v>
      </c>
    </row>
    <row r="77" spans="2:15" ht="12.95" customHeight="1" x14ac:dyDescent="0.2">
      <c r="J77" s="131"/>
      <c r="K77" s="270"/>
      <c r="L77" s="99"/>
      <c r="M77" s="99"/>
      <c r="N77" s="99"/>
      <c r="O77" s="99"/>
    </row>
    <row r="78" spans="2:15" ht="12.95" customHeight="1" x14ac:dyDescent="0.2">
      <c r="B78" s="24" t="s">
        <v>168</v>
      </c>
      <c r="J78" s="100" t="s">
        <v>126</v>
      </c>
      <c r="K78" s="4"/>
    </row>
    <row r="79" spans="2:15" ht="12.95" customHeight="1" x14ac:dyDescent="0.2">
      <c r="B79" s="1" t="s">
        <v>40</v>
      </c>
      <c r="J79" s="101">
        <f>+J139</f>
        <v>0</v>
      </c>
      <c r="K79" s="54">
        <f t="shared" ref="K79:O79" ca="1" si="20">+K139</f>
        <v>5</v>
      </c>
      <c r="L79" s="15">
        <f t="shared" ca="1" si="20"/>
        <v>5</v>
      </c>
      <c r="M79" s="15">
        <f t="shared" ca="1" si="20"/>
        <v>5</v>
      </c>
      <c r="N79" s="15">
        <f t="shared" ca="1" si="20"/>
        <v>5</v>
      </c>
      <c r="O79" s="15">
        <f t="shared" ca="1" si="20"/>
        <v>5</v>
      </c>
    </row>
    <row r="80" spans="2:15" ht="12.95" customHeight="1" x14ac:dyDescent="0.2">
      <c r="J80" s="102"/>
      <c r="K80" s="4"/>
    </row>
    <row r="81" spans="2:16" ht="12.95" customHeight="1" x14ac:dyDescent="0.2">
      <c r="B81" s="1" t="s">
        <v>169</v>
      </c>
      <c r="J81" s="103">
        <f>+J158</f>
        <v>0</v>
      </c>
      <c r="K81" s="175">
        <f t="shared" ref="K81:O81" si="21">+K158</f>
        <v>0</v>
      </c>
      <c r="L81" s="14">
        <f t="shared" si="21"/>
        <v>0</v>
      </c>
      <c r="M81" s="14">
        <f t="shared" si="21"/>
        <v>0</v>
      </c>
      <c r="N81" s="14">
        <f t="shared" si="21"/>
        <v>0</v>
      </c>
      <c r="O81" s="14">
        <f t="shared" si="21"/>
        <v>0</v>
      </c>
    </row>
    <row r="82" spans="2:16" ht="12.95" customHeight="1" x14ac:dyDescent="0.2">
      <c r="J82" s="283"/>
      <c r="K82" s="88"/>
      <c r="L82" s="264"/>
      <c r="M82" s="264"/>
      <c r="N82" s="264"/>
      <c r="O82" s="264"/>
    </row>
    <row r="83" spans="2:16" ht="12.95" customHeight="1" x14ac:dyDescent="0.2">
      <c r="B83" s="1" t="str">
        <f>+B48</f>
        <v>Revolving Credit Facility</v>
      </c>
      <c r="J83" s="104">
        <f>+J159</f>
        <v>0</v>
      </c>
      <c r="K83" s="35">
        <f t="shared" ref="K83:O83" ca="1" si="22">+K159</f>
        <v>0</v>
      </c>
      <c r="L83" s="16">
        <f t="shared" ca="1" si="22"/>
        <v>0</v>
      </c>
      <c r="M83" s="16">
        <f t="shared" ca="1" si="22"/>
        <v>0</v>
      </c>
      <c r="N83" s="16">
        <f t="shared" ca="1" si="22"/>
        <v>0</v>
      </c>
      <c r="O83" s="16">
        <f t="shared" ca="1" si="22"/>
        <v>0</v>
      </c>
    </row>
    <row r="84" spans="2:16" ht="12.95" customHeight="1" x14ac:dyDescent="0.2">
      <c r="B84" s="1" t="str">
        <f>+B49</f>
        <v>First Lien Term Loan</v>
      </c>
      <c r="J84" s="104">
        <f t="shared" ref="J84:O85" si="23">+J160</f>
        <v>389.37333999999987</v>
      </c>
      <c r="K84" s="35">
        <f t="shared" ca="1" si="23"/>
        <v>313.68842044632839</v>
      </c>
      <c r="L84" s="16">
        <f t="shared" ca="1" si="23"/>
        <v>225.91463196192365</v>
      </c>
      <c r="M84" s="16">
        <f t="shared" ca="1" si="23"/>
        <v>120.88850915452724</v>
      </c>
      <c r="N84" s="16">
        <f t="shared" ca="1" si="23"/>
        <v>0</v>
      </c>
      <c r="O84" s="16">
        <f t="shared" ca="1" si="23"/>
        <v>0</v>
      </c>
    </row>
    <row r="85" spans="2:16" ht="12.95" customHeight="1" x14ac:dyDescent="0.2">
      <c r="B85" s="3" t="str">
        <f>+B50</f>
        <v>Second Lien Term Loan</v>
      </c>
      <c r="C85" s="3"/>
      <c r="D85" s="3"/>
      <c r="E85" s="3"/>
      <c r="F85" s="3"/>
      <c r="G85" s="3"/>
      <c r="H85" s="3"/>
      <c r="I85" s="3"/>
      <c r="J85" s="105">
        <f t="shared" si="23"/>
        <v>194.68666999999994</v>
      </c>
      <c r="K85" s="66">
        <f t="shared" ca="1" si="23"/>
        <v>210.91055916666659</v>
      </c>
      <c r="L85" s="66">
        <f t="shared" ca="1" si="23"/>
        <v>228.48643909722213</v>
      </c>
      <c r="M85" s="66">
        <f t="shared" ca="1" si="23"/>
        <v>247.5269756886573</v>
      </c>
      <c r="N85" s="66">
        <f t="shared" ca="1" si="23"/>
        <v>264.78033587676589</v>
      </c>
      <c r="O85" s="66">
        <f t="shared" ca="1" si="23"/>
        <v>140.09873852710791</v>
      </c>
    </row>
    <row r="86" spans="2:16" ht="12.95" customHeight="1" x14ac:dyDescent="0.2">
      <c r="B86" s="69" t="s">
        <v>170</v>
      </c>
      <c r="C86" s="69"/>
      <c r="D86" s="69"/>
      <c r="E86" s="69"/>
      <c r="F86" s="69"/>
      <c r="G86" s="69"/>
      <c r="H86" s="69"/>
      <c r="I86" s="69"/>
      <c r="J86" s="106">
        <f>+SUM(J83:J85)</f>
        <v>584.06000999999981</v>
      </c>
      <c r="K86" s="71">
        <f t="shared" ref="K86:O86" ca="1" si="24">+SUM(K83:K85)</f>
        <v>524.59897961299498</v>
      </c>
      <c r="L86" s="71">
        <f t="shared" ca="1" si="24"/>
        <v>454.40107105914581</v>
      </c>
      <c r="M86" s="71">
        <f t="shared" ca="1" si="24"/>
        <v>368.41548484318457</v>
      </c>
      <c r="N86" s="71">
        <f t="shared" ca="1" si="24"/>
        <v>264.78033587676589</v>
      </c>
      <c r="O86" s="71">
        <f t="shared" ca="1" si="24"/>
        <v>140.09873852710791</v>
      </c>
    </row>
    <row r="87" spans="2:16" ht="12.95" customHeight="1" x14ac:dyDescent="0.2">
      <c r="B87" s="3" t="str">
        <f>+B51</f>
        <v>Notes</v>
      </c>
      <c r="C87" s="3"/>
      <c r="D87" s="3"/>
      <c r="E87" s="3"/>
      <c r="F87" s="3"/>
      <c r="G87" s="3"/>
      <c r="H87" s="3"/>
      <c r="I87" s="3"/>
      <c r="J87" s="105">
        <f>+J162</f>
        <v>486.71667499999984</v>
      </c>
      <c r="K87" s="66">
        <f t="shared" ref="K87:O87" ca="1" si="25">+K162</f>
        <v>486.71667499999984</v>
      </c>
      <c r="L87" s="66">
        <f t="shared" ca="1" si="25"/>
        <v>486.71667499999984</v>
      </c>
      <c r="M87" s="66">
        <f t="shared" ca="1" si="25"/>
        <v>486.71667499999984</v>
      </c>
      <c r="N87" s="66">
        <f t="shared" ca="1" si="25"/>
        <v>486.71667499999984</v>
      </c>
      <c r="O87" s="66">
        <f t="shared" ca="1" si="25"/>
        <v>486.71667499999984</v>
      </c>
    </row>
    <row r="88" spans="2:16" ht="12.95" customHeight="1" x14ac:dyDescent="0.2">
      <c r="B88" s="69" t="s">
        <v>171</v>
      </c>
      <c r="C88" s="4"/>
      <c r="D88" s="4"/>
      <c r="E88" s="4"/>
      <c r="F88" s="4"/>
      <c r="G88" s="4"/>
      <c r="H88" s="4"/>
      <c r="I88" s="4"/>
      <c r="J88" s="106">
        <f>+SUM(J86:J87)+J81</f>
        <v>1070.7766849999996</v>
      </c>
      <c r="K88" s="71">
        <f t="shared" ref="K88:O88" ca="1" si="26">+SUM(K86:K87)+K81</f>
        <v>1011.3156546129949</v>
      </c>
      <c r="L88" s="71">
        <f t="shared" ca="1" si="26"/>
        <v>941.1177460591457</v>
      </c>
      <c r="M88" s="71">
        <f t="shared" ca="1" si="26"/>
        <v>855.13215984318435</v>
      </c>
      <c r="N88" s="71">
        <f t="shared" ca="1" si="26"/>
        <v>751.49701087676567</v>
      </c>
      <c r="O88" s="71">
        <f t="shared" ca="1" si="26"/>
        <v>626.81541352710769</v>
      </c>
    </row>
    <row r="89" spans="2:16" ht="12.95" customHeight="1" x14ac:dyDescent="0.2">
      <c r="B89" s="3" t="str">
        <f>+B165</f>
        <v>Equity</v>
      </c>
      <c r="C89" s="3"/>
      <c r="D89" s="3"/>
      <c r="E89" s="3"/>
      <c r="F89" s="3"/>
      <c r="G89" s="3"/>
      <c r="H89" s="3"/>
      <c r="I89" s="3"/>
      <c r="J89" s="105">
        <f>+J165</f>
        <v>899.50554869999974</v>
      </c>
      <c r="K89" s="66">
        <f t="shared" ref="K89:O89" ca="1" si="27">+K165</f>
        <v>959.66589186404076</v>
      </c>
      <c r="L89" s="66">
        <f t="shared" ca="1" si="27"/>
        <v>1033.9927280359989</v>
      </c>
      <c r="M89" s="66">
        <f t="shared" ca="1" si="27"/>
        <v>1124.0227062257893</v>
      </c>
      <c r="N89" s="66">
        <f t="shared" ca="1" si="27"/>
        <v>1231.5685576319704</v>
      </c>
      <c r="O89" s="66">
        <f t="shared" ca="1" si="27"/>
        <v>1359.9715466776242</v>
      </c>
    </row>
    <row r="90" spans="2:16" ht="12.95" customHeight="1" x14ac:dyDescent="0.2">
      <c r="B90" s="69" t="s">
        <v>172</v>
      </c>
      <c r="C90" s="69"/>
      <c r="D90" s="69"/>
      <c r="E90" s="69"/>
      <c r="F90" s="69"/>
      <c r="G90" s="69"/>
      <c r="H90" s="69"/>
      <c r="I90" s="69"/>
      <c r="J90" s="106">
        <f>SUM(J88:J89)</f>
        <v>1970.2822336999993</v>
      </c>
      <c r="K90" s="71">
        <f t="shared" ref="K90:O90" ca="1" si="28">SUM(K88:K89)</f>
        <v>1970.9815464770356</v>
      </c>
      <c r="L90" s="71">
        <f t="shared" ca="1" si="28"/>
        <v>1975.1104740951446</v>
      </c>
      <c r="M90" s="71">
        <f t="shared" ca="1" si="28"/>
        <v>1979.1548660689737</v>
      </c>
      <c r="N90" s="71">
        <f t="shared" ca="1" si="28"/>
        <v>1983.0655685087361</v>
      </c>
      <c r="O90" s="71">
        <f t="shared" ca="1" si="28"/>
        <v>1986.7869602047319</v>
      </c>
    </row>
    <row r="91" spans="2:16" ht="12.95" customHeight="1" x14ac:dyDescent="0.2">
      <c r="J91" s="107"/>
      <c r="K91" s="4"/>
    </row>
    <row r="92" spans="2:16" ht="12.95" customHeight="1" x14ac:dyDescent="0.2">
      <c r="B92" s="24" t="s">
        <v>173</v>
      </c>
      <c r="J92" s="102"/>
      <c r="K92" s="284"/>
      <c r="O92" s="108"/>
      <c r="P92" s="109"/>
    </row>
    <row r="93" spans="2:16" ht="12.95" customHeight="1" x14ac:dyDescent="0.2">
      <c r="B93" s="1" t="s">
        <v>174</v>
      </c>
      <c r="J93" s="281">
        <f>+J88/J61</f>
        <v>5.5</v>
      </c>
      <c r="K93" s="111">
        <f t="shared" ref="K93:O93" ca="1" si="29">+K88/K61</f>
        <v>4.7898742194782145</v>
      </c>
      <c r="L93" s="111">
        <f t="shared" ca="1" si="29"/>
        <v>4.0701486532963784</v>
      </c>
      <c r="M93" s="111">
        <f t="shared" ca="1" si="29"/>
        <v>3.3787609398737035</v>
      </c>
      <c r="N93" s="111">
        <f t="shared" ca="1" si="29"/>
        <v>2.714114847799924</v>
      </c>
      <c r="O93" s="111">
        <f t="shared" ca="1" si="29"/>
        <v>2.0702685599750175</v>
      </c>
      <c r="P93" s="109"/>
    </row>
    <row r="94" spans="2:16" ht="12.95" customHeight="1" x14ac:dyDescent="0.2">
      <c r="B94" s="1" t="s">
        <v>175</v>
      </c>
      <c r="J94" s="281">
        <f>+(J88-J79)/J61</f>
        <v>5.5</v>
      </c>
      <c r="K94" s="111">
        <f t="shared" ref="K94:O94" ca="1" si="30">+(K88-K79)/K61</f>
        <v>4.7661928189301772</v>
      </c>
      <c r="L94" s="111">
        <f t="shared" ca="1" si="30"/>
        <v>4.0485246393494529</v>
      </c>
      <c r="M94" s="111">
        <f t="shared" ca="1" si="30"/>
        <v>3.3590051576768718</v>
      </c>
      <c r="N94" s="111">
        <f t="shared" ca="1" si="30"/>
        <v>2.6960567929539478</v>
      </c>
      <c r="O94" s="111">
        <f t="shared" ca="1" si="30"/>
        <v>2.0537543796015201</v>
      </c>
      <c r="P94" s="109"/>
    </row>
    <row r="95" spans="2:16" ht="12.95" customHeight="1" x14ac:dyDescent="0.2">
      <c r="B95" s="1" t="s">
        <v>176</v>
      </c>
      <c r="J95" s="107"/>
      <c r="K95" s="114">
        <f ca="1">+K75/K88</f>
        <v>7.9782132498035535E-2</v>
      </c>
      <c r="L95" s="114">
        <f t="shared" ref="L95:O95" ca="1" si="31">+L75/L88</f>
        <v>9.3265469546133115E-2</v>
      </c>
      <c r="M95" s="114">
        <f t="shared" ca="1" si="31"/>
        <v>0.12281858610797219</v>
      </c>
      <c r="N95" s="114">
        <f t="shared" ca="1" si="31"/>
        <v>0.1651735664047646</v>
      </c>
      <c r="O95" s="114">
        <f t="shared" ca="1" si="31"/>
        <v>0.22474999383486041</v>
      </c>
    </row>
    <row r="96" spans="2:16" ht="12.95" customHeight="1" x14ac:dyDescent="0.2">
      <c r="J96" s="107"/>
      <c r="K96" s="4"/>
      <c r="O96" s="76"/>
    </row>
    <row r="97" spans="1:15" ht="12.95" customHeight="1" x14ac:dyDescent="0.2">
      <c r="B97" s="1" t="s">
        <v>177</v>
      </c>
      <c r="J97" s="107"/>
      <c r="K97" s="111">
        <f ca="1">+K61/K64</f>
        <v>3.0944376599508874</v>
      </c>
      <c r="L97" s="111">
        <f t="shared" ref="L97:O97" ca="1" si="32">+L61/L64</f>
        <v>3.6292840836652842</v>
      </c>
      <c r="M97" s="111">
        <f t="shared" ca="1" si="32"/>
        <v>4.3330912404284874</v>
      </c>
      <c r="N97" s="111">
        <f t="shared" ca="1" si="32"/>
        <v>5.3047017296274506</v>
      </c>
      <c r="O97" s="111">
        <f t="shared" ca="1" si="32"/>
        <v>6.1952070162125752</v>
      </c>
    </row>
    <row r="98" spans="1:15" ht="12.95" customHeight="1" x14ac:dyDescent="0.2">
      <c r="B98" s="1" t="s">
        <v>178</v>
      </c>
      <c r="J98" s="179"/>
      <c r="K98" s="111">
        <f ca="1">+(K61-K65)/K64</f>
        <v>2.423841509099911</v>
      </c>
      <c r="L98" s="111">
        <f t="shared" ref="L98:O98" ca="1" si="33">+(L61-L65)/L64</f>
        <v>2.8515803514512945</v>
      </c>
      <c r="M98" s="111">
        <f t="shared" ca="1" si="33"/>
        <v>3.4146055660234458</v>
      </c>
      <c r="N98" s="111">
        <f t="shared" ca="1" si="33"/>
        <v>4.1920081960958386</v>
      </c>
      <c r="O98" s="111">
        <f t="shared" ca="1" si="33"/>
        <v>4.9088513827746416</v>
      </c>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5"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5"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5" ht="12.95" customHeight="1" x14ac:dyDescent="0.2">
      <c r="B106" s="4" t="s">
        <v>17</v>
      </c>
      <c r="C106" s="4"/>
      <c r="D106" s="4"/>
      <c r="E106" s="4"/>
      <c r="F106" s="4"/>
      <c r="G106" s="4"/>
      <c r="H106" s="121">
        <f t="shared" ref="H106:O106" si="34">SUM(H104:H105)</f>
        <v>387</v>
      </c>
      <c r="I106" s="121">
        <f t="shared" si="34"/>
        <v>415.053</v>
      </c>
      <c r="J106" s="126">
        <f t="shared" si="34"/>
        <v>445.13711999999998</v>
      </c>
      <c r="K106" s="62">
        <f t="shared" si="34"/>
        <v>478.50179579999997</v>
      </c>
      <c r="L106" s="62">
        <f t="shared" si="34"/>
        <v>514.35635432399999</v>
      </c>
      <c r="M106" s="62">
        <f t="shared" si="34"/>
        <v>552.88589224194004</v>
      </c>
      <c r="N106" s="62">
        <f t="shared" si="34"/>
        <v>594.28921933220408</v>
      </c>
      <c r="O106" s="62">
        <f t="shared" si="34"/>
        <v>638.77987134311957</v>
      </c>
    </row>
    <row r="107" spans="1:15"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5" ht="12.95" customHeight="1" x14ac:dyDescent="0.2">
      <c r="B108" s="69" t="s">
        <v>25</v>
      </c>
      <c r="C108" s="69"/>
      <c r="D108" s="69"/>
      <c r="E108" s="69"/>
      <c r="F108" s="69"/>
      <c r="G108" s="69"/>
      <c r="H108" s="122">
        <f t="shared" ref="H108:O108" si="35">+SUM(H106:H107)</f>
        <v>134.99999999999997</v>
      </c>
      <c r="I108" s="122">
        <f t="shared" si="35"/>
        <v>144.44999999999999</v>
      </c>
      <c r="J108" s="128">
        <f t="shared" si="35"/>
        <v>154.56149999999991</v>
      </c>
      <c r="K108" s="96">
        <f t="shared" si="35"/>
        <v>169.2396904499999</v>
      </c>
      <c r="L108" s="96">
        <f t="shared" si="35"/>
        <v>185.21547621299993</v>
      </c>
      <c r="M108" s="96">
        <f t="shared" si="35"/>
        <v>202.59859749961493</v>
      </c>
      <c r="N108" s="96">
        <f t="shared" si="35"/>
        <v>221.50779993291235</v>
      </c>
      <c r="O108" s="96">
        <f t="shared" si="35"/>
        <v>242.07155757912329</v>
      </c>
    </row>
    <row r="109" spans="1:15" ht="12.95" customHeight="1" x14ac:dyDescent="0.2">
      <c r="B109" s="4" t="s">
        <v>20</v>
      </c>
      <c r="C109" s="4"/>
      <c r="D109" s="4"/>
      <c r="E109" s="4"/>
      <c r="F109" s="4"/>
      <c r="G109" s="4"/>
      <c r="H109" s="120">
        <v>0</v>
      </c>
      <c r="I109" s="120">
        <v>5.0000000000000001E-3</v>
      </c>
      <c r="J109" s="127">
        <v>7.4999999999999997E-3</v>
      </c>
      <c r="K109" s="62">
        <f ca="1">+K306</f>
        <v>2.5000000000000001E-2</v>
      </c>
      <c r="L109" s="62">
        <f ca="1">+L306</f>
        <v>0.05</v>
      </c>
      <c r="M109" s="62">
        <f ca="1">+M306</f>
        <v>0.05</v>
      </c>
      <c r="N109" s="62">
        <f ca="1">+N306</f>
        <v>0.05</v>
      </c>
      <c r="O109" s="62">
        <f ca="1">+O306</f>
        <v>0.05</v>
      </c>
    </row>
    <row r="110" spans="1:15" ht="12.95" customHeight="1" x14ac:dyDescent="0.2">
      <c r="B110" s="3" t="s">
        <v>198</v>
      </c>
      <c r="C110" s="3"/>
      <c r="D110" s="3"/>
      <c r="E110" s="3"/>
      <c r="F110" s="3"/>
      <c r="G110" s="3"/>
      <c r="H110" s="120">
        <v>0</v>
      </c>
      <c r="I110" s="120">
        <v>0</v>
      </c>
      <c r="J110" s="127">
        <v>0</v>
      </c>
      <c r="K110" s="62">
        <f ca="1">-SUM(K317,K40)</f>
        <v>-87.966929417512091</v>
      </c>
      <c r="L110" s="62">
        <f ca="1">-SUM(L317,L40)</f>
        <v>-84.823805710353895</v>
      </c>
      <c r="M110" s="62">
        <f ca="1">-SUM(M317,M40)</f>
        <v>-80.986464810708995</v>
      </c>
      <c r="N110" s="62">
        <f ca="1">-SUM(N317,N40)</f>
        <v>-76.225568302937845</v>
      </c>
      <c r="O110" s="62">
        <f ca="1">-SUM(O317,O40)</f>
        <v>-68.60400481472638</v>
      </c>
    </row>
    <row r="111" spans="1:15" ht="12.95" customHeight="1" x14ac:dyDescent="0.2">
      <c r="B111" s="4" t="s">
        <v>26</v>
      </c>
      <c r="C111" s="4"/>
      <c r="D111" s="4"/>
      <c r="E111" s="4"/>
      <c r="F111" s="4"/>
      <c r="G111" s="4"/>
      <c r="H111" s="121">
        <f t="shared" ref="H111:O111" si="36">+SUM(H108:H110)</f>
        <v>134.99999999999997</v>
      </c>
      <c r="I111" s="121">
        <f t="shared" si="36"/>
        <v>144.45499999999998</v>
      </c>
      <c r="J111" s="126">
        <f t="shared" si="36"/>
        <v>154.5689999999999</v>
      </c>
      <c r="K111" s="222">
        <f t="shared" ca="1" si="36"/>
        <v>81.297761032487813</v>
      </c>
      <c r="L111" s="222">
        <f t="shared" ca="1" si="36"/>
        <v>100.44167050264605</v>
      </c>
      <c r="M111" s="222">
        <f t="shared" ca="1" si="36"/>
        <v>121.66213268890594</v>
      </c>
      <c r="N111" s="222">
        <f t="shared" ca="1" si="36"/>
        <v>145.3322316299745</v>
      </c>
      <c r="O111" s="222">
        <f t="shared" ca="1" si="36"/>
        <v>173.51755276439692</v>
      </c>
    </row>
    <row r="112" spans="1:15" ht="12.95" customHeight="1" x14ac:dyDescent="0.2">
      <c r="B112" s="4" t="s">
        <v>22</v>
      </c>
      <c r="C112" s="4"/>
      <c r="D112" s="4"/>
      <c r="E112" s="4"/>
      <c r="F112" s="4"/>
      <c r="G112" s="4"/>
      <c r="H112" s="120">
        <v>-47.249999999999986</v>
      </c>
      <c r="I112" s="120">
        <v>-37.558299999999996</v>
      </c>
      <c r="J112" s="127">
        <v>-40.187939999999976</v>
      </c>
      <c r="K112" s="62">
        <f ca="1">-K111*K131</f>
        <v>-21.137417868446832</v>
      </c>
      <c r="L112" s="62">
        <f ca="1">-L111*L131</f>
        <v>-26.114834330687973</v>
      </c>
      <c r="M112" s="62">
        <f ca="1">-M111*M131</f>
        <v>-31.632154499115547</v>
      </c>
      <c r="N112" s="62">
        <f ca="1">-N111*N131</f>
        <v>-37.786380223793373</v>
      </c>
      <c r="O112" s="62">
        <f ca="1">-O111*O131</f>
        <v>-45.114563718743199</v>
      </c>
    </row>
    <row r="113" spans="2:15" ht="12.95" customHeight="1" x14ac:dyDescent="0.2">
      <c r="B113" s="20" t="s">
        <v>23</v>
      </c>
      <c r="C113" s="21"/>
      <c r="D113" s="21"/>
      <c r="E113" s="21"/>
      <c r="F113" s="21"/>
      <c r="G113" s="21"/>
      <c r="H113" s="122">
        <f t="shared" ref="H113:O113" si="37">+SUM(H111:H112)</f>
        <v>87.749999999999986</v>
      </c>
      <c r="I113" s="122">
        <f t="shared" si="37"/>
        <v>106.89669999999998</v>
      </c>
      <c r="J113" s="128">
        <f t="shared" si="37"/>
        <v>114.38105999999993</v>
      </c>
      <c r="K113" s="234">
        <f t="shared" ca="1" si="37"/>
        <v>60.160343164040981</v>
      </c>
      <c r="L113" s="234">
        <f t="shared" ca="1" si="37"/>
        <v>74.326836171958078</v>
      </c>
      <c r="M113" s="234">
        <f t="shared" ca="1" si="37"/>
        <v>90.029978189790398</v>
      </c>
      <c r="N113" s="234">
        <f t="shared" ca="1" si="37"/>
        <v>107.54585140618113</v>
      </c>
      <c r="O113" s="235">
        <f t="shared" ca="1" si="37"/>
        <v>128.40298904565373</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38">+H108</f>
        <v>134.99999999999997</v>
      </c>
      <c r="I116" s="121">
        <f t="shared" si="38"/>
        <v>144.44999999999999</v>
      </c>
      <c r="J116" s="126">
        <f t="shared" si="38"/>
        <v>154.56149999999991</v>
      </c>
      <c r="K116" s="222">
        <f t="shared" si="38"/>
        <v>169.2396904499999</v>
      </c>
      <c r="L116" s="222">
        <f t="shared" si="38"/>
        <v>185.21547621299993</v>
      </c>
      <c r="M116" s="222">
        <f t="shared" si="38"/>
        <v>202.59859749961493</v>
      </c>
      <c r="N116" s="222">
        <f t="shared" si="38"/>
        <v>221.50779993291235</v>
      </c>
      <c r="O116" s="222">
        <f t="shared" si="38"/>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39">SUM(H116:H117)</f>
        <v>166.49999999999997</v>
      </c>
      <c r="I118" s="121">
        <f t="shared" si="39"/>
        <v>179.11799999999999</v>
      </c>
      <c r="J118" s="126">
        <f t="shared" si="39"/>
        <v>192.68666999999994</v>
      </c>
      <c r="K118" s="222">
        <f t="shared" si="39"/>
        <v>211.13616104999991</v>
      </c>
      <c r="L118" s="222">
        <f t="shared" si="39"/>
        <v>231.22441616399993</v>
      </c>
      <c r="M118" s="222">
        <f t="shared" si="39"/>
        <v>253.09045980481494</v>
      </c>
      <c r="N118" s="222">
        <f t="shared" si="39"/>
        <v>276.88474991614049</v>
      </c>
      <c r="O118" s="222">
        <f t="shared" si="39"/>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40">+SUM(H118:H119)</f>
        <v>173.49999999999997</v>
      </c>
      <c r="I120" s="122">
        <f t="shared" si="40"/>
        <v>184.11799999999999</v>
      </c>
      <c r="J120" s="128">
        <f t="shared" si="40"/>
        <v>194.68666999999994</v>
      </c>
      <c r="K120" s="96">
        <f t="shared" si="40"/>
        <v>211.13616104999991</v>
      </c>
      <c r="L120" s="96">
        <f t="shared" si="40"/>
        <v>231.22441616399993</v>
      </c>
      <c r="M120" s="96">
        <f t="shared" si="40"/>
        <v>253.09045980481494</v>
      </c>
      <c r="N120" s="96">
        <f t="shared" si="40"/>
        <v>276.88474991614049</v>
      </c>
      <c r="O120" s="97">
        <f t="shared" si="40"/>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41">+K127+0.002</f>
        <v>0.43599999999999994</v>
      </c>
      <c r="M127" s="134">
        <f t="shared" si="41"/>
        <v>0.43799999999999994</v>
      </c>
      <c r="N127" s="134">
        <f t="shared" si="41"/>
        <v>0.43999999999999995</v>
      </c>
      <c r="O127" s="134">
        <f t="shared" si="41"/>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42">+K128-0.0015</f>
        <v>0.27900000000000003</v>
      </c>
      <c r="M128" s="134">
        <f t="shared" si="42"/>
        <v>0.27750000000000002</v>
      </c>
      <c r="N128" s="134">
        <f t="shared" si="42"/>
        <v>0.27600000000000002</v>
      </c>
      <c r="O128" s="134">
        <f t="shared" si="42"/>
        <v>0.27450000000000002</v>
      </c>
    </row>
    <row r="129" spans="1:24" s="4" customFormat="1" ht="12.95" customHeight="1" x14ac:dyDescent="0.2">
      <c r="B129" s="4" t="s">
        <v>30</v>
      </c>
      <c r="H129" s="135">
        <f t="shared" ref="H129:O129" si="43">+H120/H104</f>
        <v>0.19277777777777774</v>
      </c>
      <c r="I129" s="135">
        <f t="shared" si="43"/>
        <v>0.19119210799584632</v>
      </c>
      <c r="J129" s="136">
        <f t="shared" si="43"/>
        <v>0.18894097495171816</v>
      </c>
      <c r="K129" s="135">
        <f t="shared" si="43"/>
        <v>0.19149999999999992</v>
      </c>
      <c r="L129" s="135">
        <f t="shared" si="43"/>
        <v>0.19599999999999992</v>
      </c>
      <c r="M129" s="135">
        <f t="shared" si="43"/>
        <v>0.2004999999999999</v>
      </c>
      <c r="N129" s="135">
        <f t="shared" si="43"/>
        <v>0.20499999999999993</v>
      </c>
      <c r="O129" s="135">
        <f t="shared" si="43"/>
        <v>0.20949999999999996</v>
      </c>
    </row>
    <row r="130" spans="1:24" s="4" customFormat="1" ht="12.95" customHeight="1" x14ac:dyDescent="0.2">
      <c r="B130" s="4" t="s">
        <v>32</v>
      </c>
      <c r="H130" s="33"/>
      <c r="I130" s="135">
        <f t="shared" ref="I130:O130" si="44">+I120/H120-1</f>
        <v>6.1198847262248002E-2</v>
      </c>
      <c r="J130" s="136">
        <f t="shared" si="44"/>
        <v>5.7401612009689185E-2</v>
      </c>
      <c r="K130" s="135">
        <f t="shared" si="44"/>
        <v>8.4492128043486492E-2</v>
      </c>
      <c r="L130" s="135">
        <f t="shared" si="44"/>
        <v>9.5143603133159393E-2</v>
      </c>
      <c r="M130" s="135">
        <f t="shared" si="44"/>
        <v>9.4566326530612255E-2</v>
      </c>
      <c r="N130" s="135">
        <f t="shared" si="44"/>
        <v>9.4014962593516493E-2</v>
      </c>
      <c r="O130" s="135">
        <f t="shared" si="44"/>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286">
        <v>100</v>
      </c>
      <c r="H139" s="145"/>
      <c r="I139" s="293">
        <f>-G139</f>
        <v>-100</v>
      </c>
      <c r="J139" s="146">
        <f>+SUM(G139:I139)</f>
        <v>0</v>
      </c>
      <c r="K139" s="221">
        <f ca="1">+J139+K220</f>
        <v>5</v>
      </c>
      <c r="L139" s="221">
        <f ca="1">+K139+L220</f>
        <v>5</v>
      </c>
      <c r="M139" s="221">
        <f ca="1">+L139+M220</f>
        <v>5</v>
      </c>
      <c r="N139" s="221">
        <f ca="1">+M139+N220</f>
        <v>5</v>
      </c>
      <c r="O139" s="221">
        <f ca="1">+N139+O220</f>
        <v>5</v>
      </c>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273.34238992211954</v>
      </c>
      <c r="H143" s="156"/>
      <c r="J143" s="157">
        <f t="shared" ref="J143:O143" si="45">+SUM(J139:J142)</f>
        <v>173.34238992211951</v>
      </c>
      <c r="K143" s="238">
        <f t="shared" ca="1" si="45"/>
        <v>187.96286050053121</v>
      </c>
      <c r="L143" s="238">
        <f t="shared" ca="1" si="45"/>
        <v>200.52950228475203</v>
      </c>
      <c r="M143" s="238">
        <f t="shared" ca="1" si="45"/>
        <v>213.95895590231126</v>
      </c>
      <c r="N143" s="238">
        <f t="shared" ca="1" si="45"/>
        <v>228.31043846513344</v>
      </c>
      <c r="O143" s="238">
        <f t="shared" ca="1" si="45"/>
        <v>243.64722970282941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+M50</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462.3618799221195</v>
      </c>
      <c r="H149" s="17"/>
      <c r="I149" s="18"/>
      <c r="J149" s="163">
        <f t="shared" ref="J149:O149" si="46">+SUM(J143:J148)</f>
        <v>2119.5265357958901</v>
      </c>
      <c r="K149" s="240">
        <f t="shared" ca="1" si="46"/>
        <v>2142.5559154857301</v>
      </c>
      <c r="L149" s="240">
        <f t="shared" ca="1" si="46"/>
        <v>2158.2616405183794</v>
      </c>
      <c r="M149" s="240">
        <f t="shared" ca="1" si="46"/>
        <v>2174.662867136642</v>
      </c>
      <c r="N149" s="240">
        <f t="shared" ca="1" si="46"/>
        <v>2191.7629203555853</v>
      </c>
      <c r="O149" s="241">
        <f t="shared" ca="1" si="46"/>
        <v>2209.5621827346149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47">SUM(J151:J153)</f>
        <v>138.94020209589044</v>
      </c>
      <c r="K154" s="242">
        <f t="shared" si="47"/>
        <v>160.54898200869457</v>
      </c>
      <c r="L154" s="238">
        <f t="shared" si="47"/>
        <v>171.35400233323509</v>
      </c>
      <c r="M154" s="238">
        <f t="shared" si="47"/>
        <v>182.88503549136868</v>
      </c>
      <c r="N154" s="238">
        <f t="shared" si="47"/>
        <v>195.19077868020815</v>
      </c>
      <c r="O154" s="238">
        <f t="shared" si="47"/>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48">
        <v>0</v>
      </c>
      <c r="F158" s="148">
        <v>0</v>
      </c>
      <c r="G158" s="285">
        <v>150</v>
      </c>
      <c r="H158" s="112"/>
      <c r="I158" s="288">
        <f>-G158</f>
        <v>-150</v>
      </c>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48">
        <v>0</v>
      </c>
      <c r="F159" s="148">
        <v>0</v>
      </c>
      <c r="G159" s="158">
        <v>0</v>
      </c>
      <c r="H159" s="90">
        <f>+F48</f>
        <v>0</v>
      </c>
      <c r="J159" s="149">
        <f>+SUM(G159:I159)</f>
        <v>0</v>
      </c>
      <c r="K159" s="35">
        <f ca="1">+K256</f>
        <v>0</v>
      </c>
      <c r="L159" s="35">
        <f ca="1">+L256</f>
        <v>0</v>
      </c>
      <c r="M159" s="35">
        <f ca="1">+M256</f>
        <v>0</v>
      </c>
      <c r="N159" s="35">
        <f ca="1">+N256</f>
        <v>0</v>
      </c>
      <c r="O159" s="35">
        <f ca="1">+O256</f>
        <v>0</v>
      </c>
      <c r="Q159" s="174"/>
      <c r="R159" s="174"/>
      <c r="S159" s="174"/>
      <c r="T159" s="174"/>
      <c r="U159" s="174"/>
      <c r="V159" s="174"/>
      <c r="W159" s="174"/>
      <c r="X159" s="174"/>
    </row>
    <row r="160" spans="2:24" s="4" customFormat="1" ht="12.95" customHeight="1" x14ac:dyDescent="0.2">
      <c r="B160" s="4" t="str">
        <f>+B49</f>
        <v>First Lien Term Loan</v>
      </c>
      <c r="E160" s="148">
        <v>0</v>
      </c>
      <c r="F160" s="148">
        <v>0</v>
      </c>
      <c r="G160" s="158">
        <v>0</v>
      </c>
      <c r="H160" s="90">
        <f>+F49</f>
        <v>389.37333999999987</v>
      </c>
      <c r="J160" s="149">
        <f>+SUM(G160:I160)</f>
        <v>389.37333999999987</v>
      </c>
      <c r="K160" s="35">
        <f ca="1">+K270</f>
        <v>313.68842044632839</v>
      </c>
      <c r="L160" s="35">
        <f ca="1">+L270</f>
        <v>225.91463196192365</v>
      </c>
      <c r="M160" s="35">
        <f ca="1">+M270</f>
        <v>120.88850915452724</v>
      </c>
      <c r="N160" s="35">
        <f ca="1">+N270</f>
        <v>0</v>
      </c>
      <c r="O160" s="35">
        <f ca="1">+O270</f>
        <v>0</v>
      </c>
      <c r="Q160" s="174"/>
      <c r="R160" s="174"/>
      <c r="S160" s="174"/>
      <c r="T160" s="174"/>
      <c r="U160" s="174"/>
      <c r="V160" s="174"/>
      <c r="W160" s="174"/>
      <c r="X160" s="174"/>
    </row>
    <row r="161" spans="2:24" s="4" customFormat="1" ht="12.95" customHeight="1" x14ac:dyDescent="0.2">
      <c r="B161" s="4" t="str">
        <f>+B50</f>
        <v>Second Lien Term Loan</v>
      </c>
      <c r="E161" s="148">
        <v>0</v>
      </c>
      <c r="F161" s="148">
        <v>0</v>
      </c>
      <c r="G161" s="158">
        <v>0</v>
      </c>
      <c r="H161" s="90">
        <f>+F50</f>
        <v>194.68666999999994</v>
      </c>
      <c r="J161" s="149">
        <f>+SUM(G161:I161)</f>
        <v>194.68666999999994</v>
      </c>
      <c r="K161" s="35">
        <f ca="1">+K281</f>
        <v>210.91055916666659</v>
      </c>
      <c r="L161" s="35">
        <f ca="1">+L281</f>
        <v>228.48643909722213</v>
      </c>
      <c r="M161" s="35">
        <f ca="1">+M281</f>
        <v>247.5269756886573</v>
      </c>
      <c r="N161" s="35">
        <f ca="1">+N281</f>
        <v>264.78033587676589</v>
      </c>
      <c r="O161" s="35">
        <f ca="1">+O281</f>
        <v>140.09873852710791</v>
      </c>
      <c r="Q161" s="174"/>
      <c r="R161" s="174"/>
      <c r="S161" s="174"/>
      <c r="T161" s="174"/>
      <c r="U161" s="174"/>
      <c r="V161" s="174"/>
      <c r="W161" s="174"/>
      <c r="X161" s="174"/>
    </row>
    <row r="162" spans="2:24" s="4" customFormat="1" ht="12.95" customHeight="1" x14ac:dyDescent="0.2">
      <c r="B162" s="3" t="str">
        <f>+B51</f>
        <v>Notes</v>
      </c>
      <c r="C162" s="3"/>
      <c r="D162" s="3"/>
      <c r="E162" s="151">
        <v>0</v>
      </c>
      <c r="F162" s="151">
        <v>0</v>
      </c>
      <c r="G162" s="300">
        <v>0</v>
      </c>
      <c r="H162" s="169">
        <f>+F51</f>
        <v>486.71667499999984</v>
      </c>
      <c r="I162" s="3"/>
      <c r="J162" s="152">
        <f>+SUM(G162:I162)</f>
        <v>486.71667499999984</v>
      </c>
      <c r="K162" s="66">
        <f ca="1">+K291</f>
        <v>486.71667499999984</v>
      </c>
      <c r="L162" s="66">
        <f ca="1">+L291</f>
        <v>486.71667499999984</v>
      </c>
      <c r="M162" s="66">
        <f ca="1">+M291</f>
        <v>486.71667499999984</v>
      </c>
      <c r="N162" s="66">
        <f ca="1">+N291</f>
        <v>486.71667499999984</v>
      </c>
      <c r="O162" s="66">
        <f ca="1">+O291</f>
        <v>486.71667499999984</v>
      </c>
      <c r="Q162" s="174"/>
      <c r="R162" s="174"/>
      <c r="S162" s="174"/>
      <c r="T162" s="174"/>
      <c r="U162" s="174"/>
      <c r="V162" s="174"/>
      <c r="W162" s="174"/>
      <c r="X162" s="174"/>
    </row>
    <row r="163" spans="2:24" s="69" customFormat="1" ht="12.95" customHeight="1" x14ac:dyDescent="0.2">
      <c r="B163" s="69" t="s">
        <v>50</v>
      </c>
      <c r="E163" s="154">
        <f>+SUM(E158:E162)</f>
        <v>0</v>
      </c>
      <c r="F163" s="154">
        <f>+SUM(F158:F162)</f>
        <v>0</v>
      </c>
      <c r="G163" s="155">
        <f>+SUM(G158:G162)</f>
        <v>150</v>
      </c>
      <c r="H163" s="156"/>
      <c r="J163" s="157">
        <f t="shared" ref="J163:O163" si="48">+SUM(J158:J162)</f>
        <v>1070.7766849999996</v>
      </c>
      <c r="K163" s="238">
        <f t="shared" ca="1" si="48"/>
        <v>1011.3156546129949</v>
      </c>
      <c r="L163" s="238">
        <f t="shared" ca="1" si="48"/>
        <v>941.1177460591457</v>
      </c>
      <c r="M163" s="238">
        <f t="shared" ca="1" si="48"/>
        <v>855.13215984318435</v>
      </c>
      <c r="N163" s="238">
        <f t="shared" ca="1" si="48"/>
        <v>751.49701087676567</v>
      </c>
      <c r="O163" s="238">
        <f t="shared" ca="1" si="48"/>
        <v>626.81541352710769</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163.117577826229</v>
      </c>
      <c r="H165" s="35">
        <f>+F52</f>
        <v>977.38021669999966</v>
      </c>
      <c r="I165" s="35">
        <f>-G165-M51</f>
        <v>-240.99224582622895</v>
      </c>
      <c r="J165" s="149">
        <f>+SUM(G165:I165)</f>
        <v>899.50554869999974</v>
      </c>
      <c r="K165" s="35">
        <f ca="1">+J165+K113</f>
        <v>959.66589186404076</v>
      </c>
      <c r="L165" s="35">
        <f ca="1">+K165+L113</f>
        <v>1033.9927280359989</v>
      </c>
      <c r="M165" s="35">
        <f ca="1">+L165+M113</f>
        <v>1124.0227062257893</v>
      </c>
      <c r="N165" s="35">
        <f ca="1">+M165+N113</f>
        <v>1231.5685576319704</v>
      </c>
      <c r="O165" s="35">
        <f ca="1">+N165+O113</f>
        <v>1359.9715466776242</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462.36187992211944</v>
      </c>
      <c r="H166" s="20"/>
      <c r="I166" s="21"/>
      <c r="J166" s="163">
        <f t="shared" ref="J166:O166" si="49">+SUM(J154,J156,J163,J165)</f>
        <v>2119.5265357958897</v>
      </c>
      <c r="K166" s="22">
        <f t="shared" ca="1" si="49"/>
        <v>2142.5559154857301</v>
      </c>
      <c r="L166" s="22">
        <f t="shared" ca="1" si="49"/>
        <v>2158.2616405183799</v>
      </c>
      <c r="M166" s="22">
        <f t="shared" ca="1" si="49"/>
        <v>2174.6628671366425</v>
      </c>
      <c r="N166" s="22">
        <f t="shared" ca="1" si="49"/>
        <v>2191.7629203555853</v>
      </c>
      <c r="O166" s="23">
        <f t="shared" ca="1" si="49"/>
        <v>2209.5621827346154</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50">+IF(ABS(J149-J166)&gt;0.001,1,0)</f>
        <v>0</v>
      </c>
      <c r="K168" s="175">
        <f t="shared" ca="1" si="50"/>
        <v>0</v>
      </c>
      <c r="L168" s="175">
        <f t="shared" ca="1" si="50"/>
        <v>0</v>
      </c>
      <c r="M168" s="175">
        <f t="shared" ca="1" si="50"/>
        <v>0</v>
      </c>
      <c r="N168" s="175">
        <f t="shared" ca="1" si="50"/>
        <v>0</v>
      </c>
      <c r="O168" s="175">
        <f t="shared" ca="1" si="50"/>
        <v>0</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34.402187826229095</v>
      </c>
      <c r="H186" s="202"/>
      <c r="I186" s="200"/>
      <c r="J186" s="102"/>
      <c r="K186" s="200">
        <f ca="1">+(K143-K139)-K154</f>
        <v>22.413878491836641</v>
      </c>
      <c r="L186" s="200">
        <f ca="1">+(L143-L139)-L154</f>
        <v>24.17549995151694</v>
      </c>
      <c r="M186" s="200">
        <f ca="1">+(M143-M139)-M154</f>
        <v>26.073920410942577</v>
      </c>
      <c r="N186" s="200">
        <f ca="1">+(N143-N139)-N154</f>
        <v>28.11965978492529</v>
      </c>
      <c r="O186" s="200">
        <f ca="1">+(O143-O139)-O154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3.3386892427508558E-2</v>
      </c>
      <c r="H187" s="115"/>
      <c r="I187" s="3"/>
      <c r="J187" s="205"/>
      <c r="K187" s="203">
        <f ca="1">+K186/K171</f>
        <v>2.0329334917528644E-2</v>
      </c>
      <c r="L187" s="203">
        <f ca="1">+L186/L171</f>
        <v>2.0492636846519387E-2</v>
      </c>
      <c r="M187" s="203">
        <f ca="1">+M186/M171</f>
        <v>2.0655938775510207E-2</v>
      </c>
      <c r="N187" s="203">
        <f ca="1">+N186/N171</f>
        <v>2.0819240704500967E-2</v>
      </c>
      <c r="O187" s="203">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 ca="1">+K113</f>
        <v>60.160343164040981</v>
      </c>
      <c r="L193" s="15">
        <f ca="1">+L113</f>
        <v>74.326836171958078</v>
      </c>
      <c r="M193" s="15">
        <f ca="1">+M113</f>
        <v>90.029978189790398</v>
      </c>
      <c r="N193" s="15">
        <f ca="1">+N113</f>
        <v>107.54585140618113</v>
      </c>
      <c r="O193" s="15">
        <f ca="1">+O113</f>
        <v>128.40298904565373</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f ca="1">K316</f>
        <v>16.223889166666662</v>
      </c>
      <c r="L196" s="62">
        <f t="shared" ref="L196:O196" ca="1" si="51">L316</f>
        <v>17.575879930555548</v>
      </c>
      <c r="M196" s="62">
        <f t="shared" ca="1" si="51"/>
        <v>19.040536591435178</v>
      </c>
      <c r="N196" s="62">
        <f t="shared" ca="1" si="51"/>
        <v>20.49229246261693</v>
      </c>
      <c r="O196" s="62">
        <f t="shared" ca="1" si="51"/>
        <v>16.195162976154954</v>
      </c>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52">+(J140-K140)</f>
        <v>-4.5168657534246393</v>
      </c>
      <c r="L199" s="16">
        <f t="shared" si="52"/>
        <v>-6.3433733424657532</v>
      </c>
      <c r="M199" s="16">
        <f t="shared" si="52"/>
        <v>-6.7874094764383699</v>
      </c>
      <c r="N199" s="16">
        <f t="shared" si="52"/>
        <v>-7.2625281397890546</v>
      </c>
      <c r="O199" s="16">
        <f t="shared" si="52"/>
        <v>-7.7709051095742865</v>
      </c>
    </row>
    <row r="200" spans="2:15" ht="12.95" customHeight="1" x14ac:dyDescent="0.2">
      <c r="B200" s="1" t="str">
        <f>+"(Increase) / Decrease in "&amp;B141</f>
        <v>(Increase) / Decrease in Inventories</v>
      </c>
      <c r="H200" s="38"/>
      <c r="I200" s="38"/>
      <c r="J200" s="38"/>
      <c r="K200" s="16">
        <f t="shared" si="52"/>
        <v>-4.2586686249870525</v>
      </c>
      <c r="L200" s="16">
        <f t="shared" si="52"/>
        <v>-4.2166480077551114</v>
      </c>
      <c r="M200" s="16">
        <f t="shared" si="52"/>
        <v>-4.4949602767408265</v>
      </c>
      <c r="N200" s="16">
        <f t="shared" si="52"/>
        <v>-4.7915746881465395</v>
      </c>
      <c r="O200" s="16">
        <f t="shared" si="52"/>
        <v>-5.1076898117930227</v>
      </c>
    </row>
    <row r="201" spans="2:15" ht="12.95" customHeight="1" x14ac:dyDescent="0.2">
      <c r="B201" s="1" t="str">
        <f>+"(Increase) / Decrease in "&amp;B142</f>
        <v>(Increase) / Decrease in Prepaid Expenses</v>
      </c>
      <c r="H201" s="38"/>
      <c r="I201" s="38"/>
      <c r="J201" s="38"/>
      <c r="K201" s="16">
        <f t="shared" si="52"/>
        <v>-0.84493619999999936</v>
      </c>
      <c r="L201" s="16">
        <f t="shared" si="52"/>
        <v>-2.0066204339999985</v>
      </c>
      <c r="M201" s="16">
        <f t="shared" si="52"/>
        <v>-2.1470838643800079</v>
      </c>
      <c r="N201" s="16">
        <f t="shared" si="52"/>
        <v>-2.2973797348865972</v>
      </c>
      <c r="O201" s="16">
        <f t="shared" si="52"/>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53">+K151-J151</f>
        <v>5.1904433589041119</v>
      </c>
      <c r="L203" s="16">
        <f t="shared" si="53"/>
        <v>3.396423326794519</v>
      </c>
      <c r="M203" s="16">
        <f t="shared" si="53"/>
        <v>3.62059814071727</v>
      </c>
      <c r="N203" s="16">
        <f t="shared" si="53"/>
        <v>3.8595149542878886</v>
      </c>
      <c r="O203" s="16">
        <f t="shared" si="53"/>
        <v>4.1141391908688973</v>
      </c>
    </row>
    <row r="204" spans="2:15" ht="12.95" customHeight="1" x14ac:dyDescent="0.2">
      <c r="B204" s="1" t="str">
        <f>+"Increase / (Decrease) in "&amp;B152</f>
        <v>Increase / (Decrease) in Accrued Liabilities</v>
      </c>
      <c r="H204" s="38"/>
      <c r="I204" s="38"/>
      <c r="J204" s="38"/>
      <c r="K204" s="16">
        <f t="shared" si="53"/>
        <v>5.0838265539000034</v>
      </c>
      <c r="L204" s="16">
        <f t="shared" si="53"/>
        <v>3.5497115477460071</v>
      </c>
      <c r="M204" s="16">
        <f t="shared" si="53"/>
        <v>3.7814275859163331</v>
      </c>
      <c r="N204" s="16">
        <f t="shared" si="53"/>
        <v>4.0281902828465519</v>
      </c>
      <c r="O204" s="16">
        <f t="shared" si="53"/>
        <v>4.2909707621760305</v>
      </c>
    </row>
    <row r="205" spans="2:15" ht="12.95" customHeight="1" x14ac:dyDescent="0.2">
      <c r="B205" s="1" t="str">
        <f>+"Increase / (Decrease) in "&amp;B153</f>
        <v>Increase / (Decrease) in Deferred Revenue</v>
      </c>
      <c r="H205" s="38"/>
      <c r="I205" s="38"/>
      <c r="J205" s="38"/>
      <c r="K205" s="16">
        <f t="shared" si="53"/>
        <v>11.334509999999995</v>
      </c>
      <c r="L205" s="16">
        <f t="shared" si="53"/>
        <v>3.8588854500000025</v>
      </c>
      <c r="M205" s="16">
        <f t="shared" si="53"/>
        <v>4.129007431500014</v>
      </c>
      <c r="N205" s="16">
        <f t="shared" si="53"/>
        <v>4.4180379517050028</v>
      </c>
      <c r="O205" s="16">
        <f t="shared" si="53"/>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 ca="1">+SUM(K193:K196,K207)</f>
        <v>126.44027560367149</v>
      </c>
      <c r="L209" s="22">
        <f ca="1">+SUM(L193:L196,L207)</f>
        <v>137.32187766240475</v>
      </c>
      <c r="M209" s="22">
        <f ca="1">+SUM(M193:M196,M207)</f>
        <v>158.67372650667141</v>
      </c>
      <c r="N209" s="22">
        <f ca="1">+SUM(N193:N196,N207)</f>
        <v>182.20570604559188</v>
      </c>
      <c r="O209" s="23">
        <f ca="1">+SUM(O193:O196,O207)</f>
        <v>203.7431051299435</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 ca="1">+L228</f>
        <v>-7.787466799999998</v>
      </c>
      <c r="M216" s="16">
        <f ca="1">+M228</f>
        <v>-7.787466799999998</v>
      </c>
      <c r="N216" s="16">
        <f ca="1">+N228</f>
        <v>-7.787466799999998</v>
      </c>
      <c r="O216" s="16">
        <f ca="1">+O228</f>
        <v>0</v>
      </c>
    </row>
    <row r="217" spans="1:15" ht="12.95" customHeight="1" x14ac:dyDescent="0.2">
      <c r="B217" s="3" t="s">
        <v>83</v>
      </c>
      <c r="C217" s="3"/>
      <c r="D217" s="3"/>
      <c r="E217" s="3"/>
      <c r="F217" s="3"/>
      <c r="G217" s="3"/>
      <c r="H217" s="27"/>
      <c r="I217" s="27"/>
      <c r="J217" s="27"/>
      <c r="K217" s="66">
        <f ca="1">+K245</f>
        <v>-67.897452753671487</v>
      </c>
      <c r="L217" s="66">
        <f ca="1">+L245</f>
        <v>-79.986321684404743</v>
      </c>
      <c r="M217" s="66">
        <f ca="1">+M245</f>
        <v>-97.238656007396401</v>
      </c>
      <c r="N217" s="66">
        <f ca="1">+N245</f>
        <v>-116.33997462903557</v>
      </c>
      <c r="O217" s="66">
        <f ca="1">+O245</f>
        <v>-140.87676032581294</v>
      </c>
    </row>
    <row r="218" spans="1:15" s="76" customFormat="1" ht="12.95" customHeight="1" x14ac:dyDescent="0.2">
      <c r="B218" s="69" t="s">
        <v>84</v>
      </c>
      <c r="C218" s="69"/>
      <c r="D218" s="69"/>
      <c r="E218" s="69"/>
      <c r="F218" s="69"/>
      <c r="G218" s="69"/>
      <c r="H218" s="210"/>
      <c r="I218" s="210"/>
      <c r="J218" s="210"/>
      <c r="K218" s="71">
        <f ca="1">+SUM(K216:K217)</f>
        <v>-75.684919553671492</v>
      </c>
      <c r="L218" s="71">
        <f ca="1">+SUM(L216:L217)</f>
        <v>-87.773788484404747</v>
      </c>
      <c r="M218" s="71">
        <f ca="1">+SUM(M216:M217)</f>
        <v>-105.0261228073964</v>
      </c>
      <c r="N218" s="71">
        <f ca="1">+SUM(N216:N217)</f>
        <v>-124.12744142903557</v>
      </c>
      <c r="O218" s="71">
        <f ca="1">+SUM(O216:O217)</f>
        <v>-140.87676032581294</v>
      </c>
    </row>
    <row r="220" spans="1:15" ht="12.95" customHeight="1" x14ac:dyDescent="0.2">
      <c r="B220" s="207" t="s">
        <v>87</v>
      </c>
      <c r="C220" s="208"/>
      <c r="D220" s="208"/>
      <c r="E220" s="208"/>
      <c r="F220" s="208"/>
      <c r="G220" s="208"/>
      <c r="H220" s="209"/>
      <c r="I220" s="209"/>
      <c r="J220" s="209"/>
      <c r="K220" s="22">
        <f ca="1">+K209+K213+K218</f>
        <v>5</v>
      </c>
      <c r="L220" s="22">
        <f ca="1">+L209+L213+L218</f>
        <v>0</v>
      </c>
      <c r="M220" s="22">
        <f ca="1">+M209+M213+M218</f>
        <v>0</v>
      </c>
      <c r="N220" s="22">
        <f ca="1">+N209+N213+N218</f>
        <v>0</v>
      </c>
      <c r="O220" s="2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f>+K268</f>
        <v>-7.787466799999998</v>
      </c>
      <c r="L227" s="211">
        <f ca="1">+L268</f>
        <v>-7.787466799999998</v>
      </c>
      <c r="M227" s="211">
        <f ca="1">+M268</f>
        <v>-7.787466799999998</v>
      </c>
      <c r="N227" s="211">
        <f ca="1">+N268</f>
        <v>-7.787466799999998</v>
      </c>
      <c r="O227" s="211">
        <f ca="1">+O268</f>
        <v>0</v>
      </c>
    </row>
    <row r="228" spans="2:15" s="76" customFormat="1" ht="12.95" customHeight="1" x14ac:dyDescent="0.2">
      <c r="B228" s="69" t="s">
        <v>74</v>
      </c>
      <c r="C228" s="69"/>
      <c r="D228" s="69"/>
      <c r="E228" s="69"/>
      <c r="F228" s="69"/>
      <c r="G228" s="69"/>
      <c r="H228" s="212"/>
      <c r="I228" s="212"/>
      <c r="J228" s="212"/>
      <c r="K228" s="71">
        <f>+SUM(K227)</f>
        <v>-7.787466799999998</v>
      </c>
      <c r="L228" s="71">
        <f ca="1">+SUM(L227)</f>
        <v>-7.787466799999998</v>
      </c>
      <c r="M228" s="71">
        <f ca="1">+SUM(M227)</f>
        <v>-7.787466799999998</v>
      </c>
      <c r="N228" s="71">
        <f ca="1">+SUM(N227)</f>
        <v>-7.787466799999998</v>
      </c>
      <c r="O228" s="71">
        <f ca="1">+SUM(O227)</f>
        <v>0</v>
      </c>
    </row>
    <row r="230" spans="2:15" ht="12.95" customHeight="1" x14ac:dyDescent="0.2">
      <c r="B230" s="24" t="s">
        <v>196</v>
      </c>
    </row>
    <row r="231" spans="2:15" ht="12.95" customHeight="1" x14ac:dyDescent="0.2">
      <c r="B231" s="1" t="s">
        <v>122</v>
      </c>
      <c r="K231" s="16">
        <f ca="1">+K209+K213</f>
        <v>80.684919553671492</v>
      </c>
      <c r="L231" s="16">
        <f ca="1">+L209+L213</f>
        <v>87.773788484404747</v>
      </c>
      <c r="M231" s="16">
        <f ca="1">+M209+M213</f>
        <v>105.0261228073964</v>
      </c>
      <c r="N231" s="16">
        <f ca="1">+N209+N213</f>
        <v>124.12744142903557</v>
      </c>
      <c r="O231" s="16">
        <f ca="1">+O209+O213</f>
        <v>140.87676032581294</v>
      </c>
    </row>
    <row r="232" spans="2:15" ht="12.95" customHeight="1" x14ac:dyDescent="0.2">
      <c r="B232" s="1" t="s">
        <v>123</v>
      </c>
      <c r="K232" s="16">
        <f>+K228</f>
        <v>-7.787466799999998</v>
      </c>
      <c r="L232" s="16">
        <f ca="1">+L228</f>
        <v>-7.787466799999998</v>
      </c>
      <c r="M232" s="16">
        <f ca="1">+M228</f>
        <v>-7.787466799999998</v>
      </c>
      <c r="N232" s="16">
        <f ca="1">+N228</f>
        <v>-7.787466799999998</v>
      </c>
      <c r="O232" s="16">
        <f ca="1">+O228</f>
        <v>0</v>
      </c>
    </row>
    <row r="233" spans="2:15" s="76" customFormat="1" ht="12.95" customHeight="1" x14ac:dyDescent="0.2">
      <c r="B233" s="20" t="s">
        <v>75</v>
      </c>
      <c r="C233" s="21"/>
      <c r="D233" s="21"/>
      <c r="E233" s="21"/>
      <c r="F233" s="21"/>
      <c r="G233" s="21"/>
      <c r="H233" s="21"/>
      <c r="I233" s="21"/>
      <c r="J233" s="21"/>
      <c r="K233" s="22">
        <f ca="1">SUM(K231:K232)</f>
        <v>72.897452753671487</v>
      </c>
      <c r="L233" s="22">
        <f ca="1">SUM(L231:L232)</f>
        <v>79.986321684404743</v>
      </c>
      <c r="M233" s="22">
        <f ca="1">SUM(M231:M232)</f>
        <v>97.238656007396401</v>
      </c>
      <c r="N233" s="22">
        <f ca="1">SUM(N231:N232)</f>
        <v>116.33997462903557</v>
      </c>
      <c r="O233" s="23">
        <f ca="1">SUM(O231:O232)</f>
        <v>140.87676032581294</v>
      </c>
    </row>
    <row r="235" spans="2:15" ht="12.95" customHeight="1" x14ac:dyDescent="0.2">
      <c r="B235" s="1" t="s">
        <v>76</v>
      </c>
      <c r="H235" s="38"/>
      <c r="I235" s="38"/>
      <c r="J235" s="38"/>
      <c r="K235" s="16">
        <f>+J139</f>
        <v>0</v>
      </c>
      <c r="L235" s="16">
        <f ca="1">+K139</f>
        <v>5</v>
      </c>
      <c r="M235" s="16">
        <f ca="1">+L139</f>
        <v>5</v>
      </c>
      <c r="N235" s="16">
        <f ca="1">+M139</f>
        <v>5</v>
      </c>
      <c r="O235" s="16">
        <f ca="1">+N139</f>
        <v>5</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 ca="1">+K233</f>
        <v>72.897452753671487</v>
      </c>
      <c r="L237" s="35">
        <f ca="1">+L233</f>
        <v>79.986321684404743</v>
      </c>
      <c r="M237" s="35">
        <f ca="1">+M233</f>
        <v>97.238656007396401</v>
      </c>
      <c r="N237" s="35">
        <f ca="1">+N233</f>
        <v>116.33997462903557</v>
      </c>
      <c r="O237" s="35">
        <f ca="1">+O233</f>
        <v>140.87676032581294</v>
      </c>
    </row>
    <row r="238" spans="2:15" s="76" customFormat="1" ht="12.95" customHeight="1" x14ac:dyDescent="0.2">
      <c r="B238" s="20" t="s">
        <v>86</v>
      </c>
      <c r="C238" s="21"/>
      <c r="D238" s="21"/>
      <c r="E238" s="21"/>
      <c r="F238" s="21"/>
      <c r="G238" s="21"/>
      <c r="H238" s="172"/>
      <c r="I238" s="172"/>
      <c r="J238" s="172"/>
      <c r="K238" s="22">
        <f ca="1">SUM(K235:K237)</f>
        <v>67.897452753671487</v>
      </c>
      <c r="L238" s="22">
        <f ca="1">SUM(L235:L237)</f>
        <v>79.986321684404743</v>
      </c>
      <c r="M238" s="22">
        <f ca="1">SUM(M235:M237)</f>
        <v>97.238656007396401</v>
      </c>
      <c r="N238" s="22">
        <f ca="1">SUM(N235:N237)</f>
        <v>116.33997462903557</v>
      </c>
      <c r="O238" s="23">
        <f ca="1">SUM(O235:O237)</f>
        <v>140.87676032581294</v>
      </c>
    </row>
    <row r="240" spans="2:15" s="76" customFormat="1" ht="12.95" customHeight="1" x14ac:dyDescent="0.2">
      <c r="B240" s="24" t="s">
        <v>79</v>
      </c>
    </row>
    <row r="241" spans="1:15" ht="12.95" customHeight="1" x14ac:dyDescent="0.2">
      <c r="B241" s="1" t="str">
        <f>+B159</f>
        <v>Revolving Credit Facility</v>
      </c>
      <c r="K241" s="16">
        <f ca="1">+K255</f>
        <v>0</v>
      </c>
      <c r="L241" s="16">
        <f ca="1">+L255</f>
        <v>0</v>
      </c>
      <c r="M241" s="16">
        <f ca="1">+M255</f>
        <v>0</v>
      </c>
      <c r="N241" s="16">
        <f ca="1">+N255</f>
        <v>0</v>
      </c>
      <c r="O241" s="16">
        <f ca="1">+O255</f>
        <v>0</v>
      </c>
    </row>
    <row r="242" spans="1:15" ht="12.95" customHeight="1" x14ac:dyDescent="0.2">
      <c r="B242" s="1" t="str">
        <f>+B160</f>
        <v>First Lien Term Loan</v>
      </c>
      <c r="K242" s="16">
        <f ca="1">+K269</f>
        <v>-67.897452753671487</v>
      </c>
      <c r="L242" s="16">
        <f ca="1">+L269</f>
        <v>-79.986321684404743</v>
      </c>
      <c r="M242" s="16">
        <f ca="1">+M269</f>
        <v>-97.238656007396401</v>
      </c>
      <c r="N242" s="16">
        <f ca="1">+N269</f>
        <v>-113.10104235452724</v>
      </c>
      <c r="O242" s="16">
        <f ca="1">+O269</f>
        <v>0</v>
      </c>
    </row>
    <row r="243" spans="1:15" ht="12.95" customHeight="1" x14ac:dyDescent="0.2">
      <c r="B243" s="1" t="str">
        <f>+B161</f>
        <v>Second Lien Term Loan</v>
      </c>
      <c r="K243" s="16">
        <f ca="1">+K280</f>
        <v>0</v>
      </c>
      <c r="L243" s="16">
        <f ca="1">+L280</f>
        <v>0</v>
      </c>
      <c r="M243" s="16">
        <f ca="1">+M280</f>
        <v>0</v>
      </c>
      <c r="N243" s="16">
        <f ca="1">+N280</f>
        <v>-3.2389322745083291</v>
      </c>
      <c r="O243" s="16">
        <f ca="1">+O280</f>
        <v>-140.87676032581294</v>
      </c>
    </row>
    <row r="244" spans="1:15" ht="12.95" customHeight="1" x14ac:dyDescent="0.2">
      <c r="B244" s="3" t="str">
        <f>+B162</f>
        <v>Notes</v>
      </c>
      <c r="C244" s="3"/>
      <c r="D244" s="3"/>
      <c r="E244" s="3"/>
      <c r="F244" s="3"/>
      <c r="G244" s="3"/>
      <c r="H244" s="3"/>
      <c r="I244" s="3"/>
      <c r="J244" s="3"/>
      <c r="K244" s="66">
        <f ca="1">+K290</f>
        <v>0</v>
      </c>
      <c r="L244" s="66">
        <f ca="1">+L290</f>
        <v>0</v>
      </c>
      <c r="M244" s="66">
        <f ca="1">+M290</f>
        <v>0</v>
      </c>
      <c r="N244" s="66">
        <f ca="1">+N290</f>
        <v>0</v>
      </c>
      <c r="O244" s="66">
        <f ca="1">+O290</f>
        <v>0</v>
      </c>
    </row>
    <row r="245" spans="1:15" s="76" customFormat="1" ht="12.95" customHeight="1" x14ac:dyDescent="0.2">
      <c r="B245" s="69" t="s">
        <v>80</v>
      </c>
      <c r="C245" s="69"/>
      <c r="D245" s="69"/>
      <c r="E245" s="69"/>
      <c r="F245" s="69"/>
      <c r="G245" s="69"/>
      <c r="H245" s="69"/>
      <c r="I245" s="69"/>
      <c r="J245" s="69"/>
      <c r="K245" s="71">
        <f ca="1">SUM(K241:K244)</f>
        <v>-67.897452753671487</v>
      </c>
      <c r="L245" s="71">
        <f ca="1">SUM(L241:L244)</f>
        <v>-79.986321684404743</v>
      </c>
      <c r="M245" s="71">
        <f ca="1">SUM(M241:M244)</f>
        <v>-97.238656007396401</v>
      </c>
      <c r="N245" s="71">
        <f ca="1">SUM(N241:N244)</f>
        <v>-116.33997462903557</v>
      </c>
      <c r="O245" s="71">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206"/>
      <c r="M249" s="206"/>
      <c r="N249" s="206"/>
      <c r="O249" s="206"/>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13">
        <v>0.02</v>
      </c>
      <c r="L251" s="214">
        <f>+K251</f>
        <v>0.02</v>
      </c>
      <c r="M251" s="214">
        <f>+L251</f>
        <v>0.02</v>
      </c>
      <c r="N251" s="214">
        <f>+M251</f>
        <v>0.02</v>
      </c>
      <c r="O251" s="214">
        <f>+N251</f>
        <v>0.02</v>
      </c>
    </row>
    <row r="252" spans="1:15" s="4" customFormat="1" ht="12.95" customHeight="1" x14ac:dyDescent="0.2">
      <c r="K252" s="118"/>
      <c r="L252" s="118"/>
      <c r="M252" s="118"/>
      <c r="N252" s="118"/>
      <c r="O252" s="118"/>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15">
        <f>+J159</f>
        <v>0</v>
      </c>
      <c r="L254" s="54">
        <f ca="1">+K256</f>
        <v>0</v>
      </c>
      <c r="M254" s="54">
        <f ca="1">+L256</f>
        <v>0</v>
      </c>
      <c r="N254" s="54">
        <f ca="1">+M256</f>
        <v>0</v>
      </c>
      <c r="O254" s="54">
        <f ca="1">+N256</f>
        <v>0</v>
      </c>
    </row>
    <row r="255" spans="1:15" ht="12.95" customHeight="1" x14ac:dyDescent="0.2">
      <c r="B255" s="3" t="s">
        <v>94</v>
      </c>
      <c r="C255" s="3"/>
      <c r="D255" s="3"/>
      <c r="E255" s="3"/>
      <c r="F255" s="3"/>
      <c r="G255" s="3"/>
      <c r="H255" s="3"/>
      <c r="I255" s="3"/>
      <c r="J255" s="3"/>
      <c r="K255" s="66">
        <f ca="1">-MIN(K238,K254)</f>
        <v>0</v>
      </c>
      <c r="L255" s="66">
        <f ca="1">-MIN(L238,L254)</f>
        <v>0</v>
      </c>
      <c r="M255" s="66">
        <f ca="1">-MIN(M238,M254)</f>
        <v>0</v>
      </c>
      <c r="N255" s="66">
        <f ca="1">-MIN(N238,N254)</f>
        <v>0</v>
      </c>
      <c r="O255" s="66">
        <f ca="1">-MIN(O238,O254)</f>
        <v>0</v>
      </c>
    </row>
    <row r="256" spans="1:15" ht="12.95" customHeight="1" x14ac:dyDescent="0.2">
      <c r="B256" s="69" t="s">
        <v>192</v>
      </c>
      <c r="C256" s="69"/>
      <c r="D256" s="69"/>
      <c r="E256" s="69"/>
      <c r="F256" s="69"/>
      <c r="G256" s="69"/>
      <c r="H256" s="69"/>
      <c r="I256" s="69"/>
      <c r="J256" s="69"/>
      <c r="K256" s="71">
        <f ca="1">SUM(K254:K255)</f>
        <v>0</v>
      </c>
      <c r="L256" s="71">
        <f ca="1">SUM(L254:L255)</f>
        <v>0</v>
      </c>
      <c r="M256" s="71">
        <f ca="1">SUM(M254:M255)</f>
        <v>0</v>
      </c>
      <c r="N256" s="71">
        <f ca="1">SUM(N254:N255)</f>
        <v>0</v>
      </c>
      <c r="O256" s="71">
        <f ca="1">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16">
        <f>+M26</f>
        <v>100</v>
      </c>
      <c r="K258" s="35">
        <f ca="1">+AVERAGE(K254,K256)</f>
        <v>0</v>
      </c>
      <c r="L258" s="35">
        <f ca="1">+AVERAGE(L254,L256)</f>
        <v>0</v>
      </c>
      <c r="M258" s="35">
        <f ca="1">+AVERAGE(M254,M256)</f>
        <v>0</v>
      </c>
      <c r="N258" s="35">
        <f ca="1">+AVERAGE(N254,N256)</f>
        <v>0</v>
      </c>
      <c r="O258" s="35">
        <f ca="1">+AVERAGE(O254,O256)</f>
        <v>0</v>
      </c>
    </row>
    <row r="259" spans="2:15"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f ca="1">+IF($E$5=1,K258,0)*K259</f>
        <v>0</v>
      </c>
      <c r="L260" s="54">
        <f ca="1">+IF($E$5=1,L258,0)*L259</f>
        <v>0</v>
      </c>
      <c r="M260" s="54">
        <f ca="1">+IF($E$5=1,M258,0)*M259</f>
        <v>0</v>
      </c>
      <c r="N260" s="54">
        <f ca="1">+IF($E$5=1,N258,0)*N259</f>
        <v>0</v>
      </c>
      <c r="O260" s="54">
        <f ca="1">+IF($E$5=1,O258,0)*O259</f>
        <v>0</v>
      </c>
    </row>
    <row r="261" spans="2:15" s="4" customFormat="1" ht="12.95" customHeight="1" x14ac:dyDescent="0.2">
      <c r="B261" s="4" t="s">
        <v>158</v>
      </c>
      <c r="G261" s="4" t="s">
        <v>147</v>
      </c>
      <c r="I261" s="218">
        <v>25</v>
      </c>
      <c r="K261" s="15">
        <f ca="1">+IF($E$5=1,($I$258-K258),0)*$I$261/10000</f>
        <v>0.25</v>
      </c>
      <c r="L261" s="15">
        <f ca="1">+IF($E$5=1,($I$258-L258),0)*$I$261/10000</f>
        <v>0.25</v>
      </c>
      <c r="M261" s="15">
        <f ca="1">+IF($E$5=1,($I$258-M258),0)*$I$261/10000</f>
        <v>0.25</v>
      </c>
      <c r="N261" s="15">
        <f ca="1">+IF($E$5=1,($I$258-N258),0)*$I$261/10000</f>
        <v>0.25</v>
      </c>
      <c r="O261" s="15">
        <f ca="1">+IF($E$5=1,($I$258-O258),0)*$I$261/10000</f>
        <v>0.25</v>
      </c>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 ca="1">+IF(K256&gt;$I$258,1,0)</f>
        <v>0</v>
      </c>
      <c r="L264" s="14">
        <f ca="1">+IF(L256&gt;$I$258,1,0)</f>
        <v>0</v>
      </c>
      <c r="M264" s="14">
        <f ca="1">+IF(M256&gt;$I$258,1,0)</f>
        <v>0</v>
      </c>
      <c r="N264" s="14">
        <f ca="1">+IF(N256&gt;$I$258,1,0)</f>
        <v>0</v>
      </c>
      <c r="O264" s="14">
        <f ca="1">+IF(O256&gt;$I$258,1,0)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15">
        <f>+J160</f>
        <v>389.37333999999987</v>
      </c>
      <c r="L267" s="54">
        <f ca="1">+K270</f>
        <v>313.68842044632839</v>
      </c>
      <c r="M267" s="54">
        <f ca="1">+L270</f>
        <v>225.91463196192365</v>
      </c>
      <c r="N267" s="54">
        <f ca="1">+M270</f>
        <v>120.88850915452724</v>
      </c>
      <c r="O267" s="54">
        <f ca="1">+N270</f>
        <v>0</v>
      </c>
    </row>
    <row r="268" spans="2:15" s="4" customFormat="1" ht="12.95" customHeight="1" x14ac:dyDescent="0.2">
      <c r="B268" s="33" t="s">
        <v>92</v>
      </c>
      <c r="G268" s="4" t="s">
        <v>97</v>
      </c>
      <c r="I268" s="219">
        <v>0.02</v>
      </c>
      <c r="K268" s="35">
        <f>-MIN($K$267*$I$268,K267)</f>
        <v>-7.787466799999998</v>
      </c>
      <c r="L268" s="35">
        <f ca="1">-MIN($K$267*$I$268,L267)</f>
        <v>-7.787466799999998</v>
      </c>
      <c r="M268" s="35">
        <f ca="1">-MIN($K$267*$I$268,M267)</f>
        <v>-7.787466799999998</v>
      </c>
      <c r="N268" s="35">
        <f ca="1">-MIN($K$267*$I$268,N267)</f>
        <v>-7.787466799999998</v>
      </c>
      <c r="O268" s="35">
        <f ca="1">-MIN($K$267*$I$268,O267)</f>
        <v>0</v>
      </c>
    </row>
    <row r="269" spans="2:15" ht="12.95" customHeight="1" x14ac:dyDescent="0.2">
      <c r="B269" s="3" t="s">
        <v>89</v>
      </c>
      <c r="C269" s="3"/>
      <c r="D269" s="3"/>
      <c r="E269" s="3"/>
      <c r="F269" s="3"/>
      <c r="G269" s="3"/>
      <c r="H269" s="3"/>
      <c r="I269" s="3"/>
      <c r="J269" s="3"/>
      <c r="K269" s="66">
        <f ca="1">-MIN(SUM(K267:K268),SUM(K238:K241))</f>
        <v>-67.897452753671487</v>
      </c>
      <c r="L269" s="66">
        <f ca="1">-MIN(SUM(L267:L268),SUM(L238:L241))</f>
        <v>-79.986321684404743</v>
      </c>
      <c r="M269" s="66">
        <f ca="1">-MIN(SUM(M267:M268),SUM(M238:M241))</f>
        <v>-97.238656007396401</v>
      </c>
      <c r="N269" s="66">
        <f ca="1">-MIN(SUM(N267:N268),SUM(N238:N241))</f>
        <v>-113.10104235452724</v>
      </c>
      <c r="O269" s="66">
        <f ca="1">-MIN(SUM(O267:O268),SUM(O238:O241))</f>
        <v>0</v>
      </c>
    </row>
    <row r="270" spans="2:15" ht="12.95" customHeight="1" x14ac:dyDescent="0.2">
      <c r="B270" s="69" t="s">
        <v>192</v>
      </c>
      <c r="C270" s="69"/>
      <c r="D270" s="69"/>
      <c r="E270" s="69"/>
      <c r="F270" s="69"/>
      <c r="G270" s="69"/>
      <c r="H270" s="4"/>
      <c r="I270" s="69"/>
      <c r="J270" s="69"/>
      <c r="K270" s="71">
        <f ca="1">SUM(K267:K269)</f>
        <v>313.68842044632839</v>
      </c>
      <c r="L270" s="71">
        <f ca="1">SUM(L267:L269)</f>
        <v>225.91463196192365</v>
      </c>
      <c r="M270" s="71">
        <f ca="1">SUM(M267:M269)</f>
        <v>120.88850915452724</v>
      </c>
      <c r="N270" s="71">
        <f ca="1">SUM(N267:N269)</f>
        <v>0</v>
      </c>
      <c r="O270" s="71">
        <f ca="1">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 ca="1">+AVERAGE(K267,K270)</f>
        <v>351.5308802231641</v>
      </c>
      <c r="L272" s="16">
        <f ca="1">+AVERAGE(L267,L270)</f>
        <v>269.80152620412605</v>
      </c>
      <c r="M272" s="16">
        <f ca="1">+AVERAGE(M267,M270)</f>
        <v>173.40157055822544</v>
      </c>
      <c r="N272" s="16">
        <f ca="1">+AVERAGE(N267,N270)</f>
        <v>60.444254577263621</v>
      </c>
      <c r="O272" s="16">
        <f ca="1">+AVERAGE(O267,O270)</f>
        <v>0</v>
      </c>
    </row>
    <row r="273" spans="2:15" ht="12.95" customHeight="1" x14ac:dyDescent="0.2">
      <c r="B273" s="1" t="s">
        <v>149</v>
      </c>
      <c r="G273" s="4" t="s">
        <v>96</v>
      </c>
      <c r="I273" s="218">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f ca="1">+IF($E$5=1,K272,0)*K273</f>
        <v>19.334198412274027</v>
      </c>
      <c r="L274" s="54">
        <f ca="1">+IF($E$5=1,L272,0)*L273</f>
        <v>14.839083941226935</v>
      </c>
      <c r="M274" s="54">
        <f ca="1">+IF($E$5=1,M272,0)*M273</f>
        <v>9.5370863807024016</v>
      </c>
      <c r="N274" s="54">
        <f ca="1">+IF($E$5=1,N272,0)*N273</f>
        <v>3.3244340017494998</v>
      </c>
      <c r="O274" s="54">
        <f ca="1">+IF($E$5=1,O272,0)*O273</f>
        <v>0</v>
      </c>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20">
        <f>+J161</f>
        <v>194.68666999999994</v>
      </c>
      <c r="L278" s="54">
        <f ca="1">+K281</f>
        <v>210.91055916666659</v>
      </c>
      <c r="M278" s="54">
        <f t="shared" ref="M278:O278" ca="1" si="54">+L281</f>
        <v>228.48643909722213</v>
      </c>
      <c r="N278" s="54">
        <f t="shared" ca="1" si="54"/>
        <v>247.5269756886573</v>
      </c>
      <c r="O278" s="54">
        <f t="shared" ca="1" si="54"/>
        <v>264.78033587676589</v>
      </c>
    </row>
    <row r="279" spans="2:15" s="4" customFormat="1" ht="12.95" customHeight="1" x14ac:dyDescent="0.2">
      <c r="B279" s="4" t="s">
        <v>109</v>
      </c>
      <c r="K279" s="222">
        <f ca="1">+IF($E$5=1,K283,0)*K284*$I$283</f>
        <v>16.223889166666662</v>
      </c>
      <c r="L279" s="62">
        <f ca="1">+IF($E$5=1,L283,0)*L284*$I$283</f>
        <v>17.575879930555548</v>
      </c>
      <c r="M279" s="62">
        <f ca="1">+IF($E$5=1,M283,0)*M284*$I$283</f>
        <v>19.040536591435178</v>
      </c>
      <c r="N279" s="62">
        <f ca="1">+IF($E$5=1,N283,0)*N284*$I$283</f>
        <v>20.49229246261693</v>
      </c>
      <c r="O279" s="62">
        <f ca="1">+IF($E$5=1,O283,0)*O284*$I$283</f>
        <v>16.195162976154954</v>
      </c>
    </row>
    <row r="280" spans="2:15" s="4" customFormat="1" ht="12.95" customHeight="1" x14ac:dyDescent="0.2">
      <c r="B280" s="3" t="s">
        <v>89</v>
      </c>
      <c r="C280" s="3"/>
      <c r="D280" s="3"/>
      <c r="E280" s="3"/>
      <c r="F280" s="3"/>
      <c r="G280" s="3"/>
      <c r="H280" s="3"/>
      <c r="I280" s="3"/>
      <c r="J280" s="3"/>
      <c r="K280" s="66">
        <f ca="1">-MIN(SUM(K278:K279),SUM(K238:K242))</f>
        <v>0</v>
      </c>
      <c r="L280" s="66">
        <f ca="1">-MIN(SUM(L278:L279),SUM(L238:L242))</f>
        <v>0</v>
      </c>
      <c r="M280" s="66">
        <f ca="1">-MIN(SUM(M278:M279),SUM(M238:M242))</f>
        <v>0</v>
      </c>
      <c r="N280" s="66">
        <f ca="1">-MIN(SUM(N278:N279),SUM(N238:N242))</f>
        <v>-3.2389322745083291</v>
      </c>
      <c r="O280" s="66">
        <f ca="1">-MIN(SUM(O278:O279),SUM(O238:O242))</f>
        <v>-140.87676032581294</v>
      </c>
    </row>
    <row r="281" spans="2:15" s="4" customFormat="1" ht="12.95" customHeight="1" x14ac:dyDescent="0.2">
      <c r="B281" s="69" t="s">
        <v>192</v>
      </c>
      <c r="C281" s="69"/>
      <c r="D281" s="69"/>
      <c r="E281" s="69"/>
      <c r="F281" s="69"/>
      <c r="G281" s="69"/>
      <c r="I281" s="69"/>
      <c r="J281" s="69"/>
      <c r="K281" s="71">
        <f ca="1">SUM(K278:K280)</f>
        <v>210.91055916666659</v>
      </c>
      <c r="L281" s="71">
        <f ca="1">SUM(L278:L280)</f>
        <v>228.48643909722213</v>
      </c>
      <c r="M281" s="71">
        <f ca="1">SUM(M278:M280)</f>
        <v>247.5269756886573</v>
      </c>
      <c r="N281" s="71">
        <f ca="1">SUM(N278:N280)</f>
        <v>264.78033587676589</v>
      </c>
      <c r="O281" s="71">
        <f ca="1">SUM(O278:O280)</f>
        <v>140.09873852710791</v>
      </c>
    </row>
    <row r="282" spans="2:15" ht="12.95" customHeight="1" x14ac:dyDescent="0.2">
      <c r="B282" s="69"/>
      <c r="C282" s="69"/>
      <c r="D282" s="69"/>
      <c r="E282" s="69"/>
      <c r="F282" s="69"/>
      <c r="G282" s="69"/>
      <c r="H282" s="4"/>
      <c r="I282" s="69"/>
      <c r="J282" s="69"/>
      <c r="K282" s="154"/>
      <c r="L282" s="154"/>
      <c r="M282" s="154"/>
      <c r="N282" s="154"/>
      <c r="O282" s="154"/>
    </row>
    <row r="283" spans="2:15" ht="12.95" customHeight="1" x14ac:dyDescent="0.2">
      <c r="B283" s="1" t="s">
        <v>91</v>
      </c>
      <c r="G283" s="1" t="s">
        <v>110</v>
      </c>
      <c r="I283" s="223">
        <v>1</v>
      </c>
      <c r="K283" s="16">
        <f ca="1">+AVERAGE(K278,K281)</f>
        <v>202.79861458333326</v>
      </c>
      <c r="L283" s="16">
        <f ca="1">+AVERAGE(L278,L281)</f>
        <v>219.69849913194435</v>
      </c>
      <c r="M283" s="16">
        <f ca="1">+AVERAGE(M278,M281)</f>
        <v>238.00670739293972</v>
      </c>
      <c r="N283" s="16">
        <f ca="1">+AVERAGE(N278,N281)</f>
        <v>256.15365578271161</v>
      </c>
      <c r="O283" s="16">
        <f ca="1">+AVERAGE(O278,O281)</f>
        <v>202.4395372019369</v>
      </c>
    </row>
    <row r="284" spans="2:15" ht="12.95" customHeight="1" x14ac:dyDescent="0.2">
      <c r="B284" s="1" t="s">
        <v>149</v>
      </c>
      <c r="G284" s="4" t="s">
        <v>96</v>
      </c>
      <c r="I284" s="217">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f ca="1">+IF($E$5=1,K283,0)*K284*(1-$I$283)</f>
        <v>0</v>
      </c>
      <c r="L285" s="54">
        <f ca="1">+IF($E$5=1,L283,0)*L284*(1-$I$283)</f>
        <v>0</v>
      </c>
      <c r="M285" s="54">
        <f ca="1">+IF($E$5=1,M283,0)*M284*(1-$I$283)</f>
        <v>0</v>
      </c>
      <c r="N285" s="54">
        <f ca="1">+IF($E$5=1,N283,0)*N284*(1-$I$283)</f>
        <v>0</v>
      </c>
      <c r="O285" s="54">
        <f ca="1">+IF($E$5=1,O283,0)*O284*(1-$I$283)</f>
        <v>0</v>
      </c>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5" s="4" customFormat="1" ht="12.95" customHeight="1" x14ac:dyDescent="0.2">
      <c r="B289" s="4" t="s">
        <v>93</v>
      </c>
      <c r="K289" s="215">
        <f>+J162</f>
        <v>486.71667499999984</v>
      </c>
      <c r="L289" s="54">
        <f ca="1">+K291</f>
        <v>486.71667499999984</v>
      </c>
      <c r="M289" s="54">
        <f ca="1">+L291</f>
        <v>486.71667499999984</v>
      </c>
      <c r="N289" s="54">
        <f ca="1">+M291</f>
        <v>486.71667499999984</v>
      </c>
      <c r="O289" s="54">
        <f ca="1">+N291</f>
        <v>486.71667499999984</v>
      </c>
    </row>
    <row r="290" spans="1:15" ht="12.95" customHeight="1" x14ac:dyDescent="0.2">
      <c r="B290" s="3" t="s">
        <v>98</v>
      </c>
      <c r="C290" s="3"/>
      <c r="D290" s="3"/>
      <c r="E290" s="3"/>
      <c r="F290" s="3"/>
      <c r="G290" s="3" t="s">
        <v>99</v>
      </c>
      <c r="H290" s="133"/>
      <c r="I290" s="224">
        <v>2026</v>
      </c>
      <c r="J290" s="3"/>
      <c r="K290" s="66">
        <f ca="1">-MIN(K289,SUM(K238:K243))*IF($I$290=K$250,1,0)</f>
        <v>0</v>
      </c>
      <c r="L290" s="66">
        <f t="shared" ref="L290:O290" ca="1" si="55">-MIN(L289,SUM(L238:L243))*IF($I$290=L$250,1,0)</f>
        <v>0</v>
      </c>
      <c r="M290" s="66">
        <f t="shared" ca="1" si="55"/>
        <v>0</v>
      </c>
      <c r="N290" s="66">
        <f t="shared" ca="1" si="55"/>
        <v>0</v>
      </c>
      <c r="O290" s="66">
        <f t="shared" ca="1" si="55"/>
        <v>0</v>
      </c>
    </row>
    <row r="291" spans="1:15" ht="12.95" customHeight="1" x14ac:dyDescent="0.2">
      <c r="B291" s="69" t="s">
        <v>192</v>
      </c>
      <c r="C291" s="69"/>
      <c r="D291" s="69"/>
      <c r="E291" s="69"/>
      <c r="F291" s="69"/>
      <c r="G291" s="69"/>
      <c r="H291" s="4"/>
      <c r="I291" s="69"/>
      <c r="J291" s="69"/>
      <c r="K291" s="71">
        <f ca="1">SUM(K289:K290)</f>
        <v>486.71667499999984</v>
      </c>
      <c r="L291" s="71">
        <f ca="1">SUM(L289:L290)</f>
        <v>486.71667499999984</v>
      </c>
      <c r="M291" s="71">
        <f ca="1">SUM(M289:M290)</f>
        <v>486.71667499999984</v>
      </c>
      <c r="N291" s="71">
        <f ca="1">SUM(N289:N290)</f>
        <v>486.71667499999984</v>
      </c>
      <c r="O291" s="71">
        <f ca="1">SUM(O289:O290)</f>
        <v>486.71667499999984</v>
      </c>
    </row>
    <row r="292" spans="1:15" ht="12.95" customHeight="1" x14ac:dyDescent="0.2">
      <c r="B292" s="69"/>
      <c r="C292" s="69"/>
      <c r="D292" s="69"/>
      <c r="E292" s="69"/>
      <c r="F292" s="69"/>
      <c r="G292" s="69"/>
      <c r="H292" s="4"/>
      <c r="I292" s="69"/>
      <c r="J292" s="69"/>
      <c r="K292" s="69"/>
      <c r="L292" s="69"/>
      <c r="M292" s="69"/>
      <c r="N292" s="69"/>
      <c r="O292" s="69"/>
    </row>
    <row r="293" spans="1:15" ht="12.95" customHeight="1" x14ac:dyDescent="0.2">
      <c r="B293" s="1" t="s">
        <v>91</v>
      </c>
      <c r="K293" s="16">
        <f ca="1">+AVERAGE(K289,K291)</f>
        <v>486.71667499999984</v>
      </c>
      <c r="L293" s="16">
        <f ca="1">+AVERAGE(L289,L291)</f>
        <v>486.71667499999984</v>
      </c>
      <c r="M293" s="16">
        <f ca="1">+AVERAGE(M289,M291)</f>
        <v>486.71667499999984</v>
      </c>
      <c r="N293" s="16">
        <f ca="1">+AVERAGE(N289,N291)</f>
        <v>486.71667499999984</v>
      </c>
      <c r="O293" s="16">
        <f ca="1">+AVERAGE(O289,O291)</f>
        <v>486.71667499999984</v>
      </c>
    </row>
    <row r="294" spans="1:15" s="4" customFormat="1" ht="12.95" customHeight="1" x14ac:dyDescent="0.2">
      <c r="B294" s="4" t="s">
        <v>21</v>
      </c>
      <c r="G294" s="4" t="s">
        <v>111</v>
      </c>
      <c r="I294" s="225">
        <v>0.1</v>
      </c>
      <c r="K294" s="54">
        <f ca="1">+IF($E$5=1,K293,0)*$I$294</f>
        <v>48.671667499999984</v>
      </c>
      <c r="L294" s="54">
        <f ca="1">+IF($E$5=1,L293,0)*$I$294</f>
        <v>48.671667499999984</v>
      </c>
      <c r="M294" s="54">
        <f ca="1">+IF($E$5=1,M293,0)*$I$294</f>
        <v>48.671667499999984</v>
      </c>
      <c r="N294" s="54">
        <f ca="1">+IF($E$5=1,N293,0)*$I$294</f>
        <v>48.671667499999984</v>
      </c>
      <c r="O294" s="54">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206"/>
      <c r="M299" s="206"/>
      <c r="N299" s="206"/>
      <c r="O299" s="206"/>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54">
        <f>+J139</f>
        <v>0</v>
      </c>
      <c r="L301" s="54">
        <f ca="1">+K139</f>
        <v>5</v>
      </c>
      <c r="M301" s="54">
        <f ca="1">+L139</f>
        <v>5</v>
      </c>
      <c r="N301" s="54">
        <f ca="1">+M139</f>
        <v>5</v>
      </c>
      <c r="O301" s="54">
        <f ca="1">+N139</f>
        <v>5</v>
      </c>
    </row>
    <row r="302" spans="1:15" s="4" customFormat="1" ht="12.95" customHeight="1" x14ac:dyDescent="0.2">
      <c r="B302" s="3" t="s">
        <v>106</v>
      </c>
      <c r="C302" s="3"/>
      <c r="D302" s="3"/>
      <c r="E302" s="3"/>
      <c r="F302" s="3"/>
      <c r="G302" s="3"/>
      <c r="H302" s="3"/>
      <c r="I302" s="3"/>
      <c r="J302" s="3"/>
      <c r="K302" s="66">
        <f ca="1">+K303-K301</f>
        <v>5</v>
      </c>
      <c r="L302" s="66">
        <f ca="1">+L303-L301</f>
        <v>0</v>
      </c>
      <c r="M302" s="66">
        <f ca="1">+M303-M301</f>
        <v>0</v>
      </c>
      <c r="N302" s="66">
        <f ca="1">+N303-N301</f>
        <v>0</v>
      </c>
      <c r="O302" s="66">
        <f ca="1">+O303-O301</f>
        <v>0</v>
      </c>
    </row>
    <row r="303" spans="1:15" s="69" customFormat="1" ht="12.95" customHeight="1" x14ac:dyDescent="0.2">
      <c r="B303" s="69" t="s">
        <v>192</v>
      </c>
      <c r="K303" s="71">
        <f ca="1">+K139</f>
        <v>5</v>
      </c>
      <c r="L303" s="71">
        <f ca="1">+L139</f>
        <v>5</v>
      </c>
      <c r="M303" s="71">
        <f ca="1">+M139</f>
        <v>5</v>
      </c>
      <c r="N303" s="71">
        <f ca="1">+N139</f>
        <v>5</v>
      </c>
      <c r="O303" s="71">
        <f ca="1">+O139</f>
        <v>5</v>
      </c>
    </row>
    <row r="304" spans="1:15" s="4" customFormat="1" ht="12.95" customHeight="1" x14ac:dyDescent="0.2"/>
    <row r="305" spans="1:15" ht="12.95" customHeight="1" x14ac:dyDescent="0.2">
      <c r="B305" s="4" t="s">
        <v>91</v>
      </c>
      <c r="C305" s="4"/>
      <c r="D305" s="4"/>
      <c r="E305" s="4"/>
      <c r="F305" s="4"/>
      <c r="G305" s="4"/>
      <c r="H305" s="4"/>
      <c r="I305" s="4"/>
      <c r="J305" s="4"/>
      <c r="K305" s="35">
        <f ca="1">+AVERAGE(K301,K303)</f>
        <v>2.5</v>
      </c>
      <c r="L305" s="35">
        <f ca="1">+AVERAGE(L301,L303)</f>
        <v>5</v>
      </c>
      <c r="M305" s="35">
        <f ca="1">+AVERAGE(M301,M303)</f>
        <v>5</v>
      </c>
      <c r="N305" s="35">
        <f ca="1">+AVERAGE(N301,N303)</f>
        <v>5</v>
      </c>
      <c r="O305" s="35">
        <f ca="1">+AVERAGE(O301,O303)</f>
        <v>5</v>
      </c>
    </row>
    <row r="306" spans="1:15" ht="12.95" customHeight="1" x14ac:dyDescent="0.2">
      <c r="B306" s="1" t="s">
        <v>107</v>
      </c>
      <c r="G306" s="85" t="s">
        <v>193</v>
      </c>
      <c r="H306" s="4"/>
      <c r="I306" s="225">
        <v>0.01</v>
      </c>
      <c r="K306" s="15">
        <f ca="1">+IF($E$5=1,K305,0)*$I$306</f>
        <v>2.5000000000000001E-2</v>
      </c>
      <c r="L306" s="15">
        <f ca="1">+IF($E$5=1,L305,0)*$I$306</f>
        <v>0.05</v>
      </c>
      <c r="M306" s="15">
        <f ca="1">+IF($E$5=1,M305,0)*$I$306</f>
        <v>0.05</v>
      </c>
      <c r="N306" s="15">
        <f ca="1">+IF($E$5=1,N305,0)*$I$306</f>
        <v>0.05</v>
      </c>
      <c r="O306" s="15">
        <f ca="1">+IF($E$5=1,O305,0)*$I$306</f>
        <v>0.05</v>
      </c>
    </row>
    <row r="307" spans="1:15" s="4" customFormat="1" ht="12.95" customHeight="1" x14ac:dyDescent="0.2">
      <c r="B307" s="3"/>
      <c r="C307" s="3"/>
      <c r="D307" s="3"/>
      <c r="E307" s="3"/>
      <c r="F307" s="3"/>
      <c r="G307" s="3"/>
      <c r="H307" s="3"/>
      <c r="I307" s="3"/>
      <c r="J307" s="3"/>
      <c r="K307" s="3"/>
      <c r="L307" s="3"/>
      <c r="M307" s="3"/>
      <c r="N307" s="3"/>
      <c r="O307" s="3"/>
    </row>
    <row r="309" spans="1:15" ht="12.95" customHeight="1" x14ac:dyDescent="0.2">
      <c r="B309" s="1" t="s">
        <v>197</v>
      </c>
    </row>
    <row r="310" spans="1:15" ht="12.95" customHeight="1" x14ac:dyDescent="0.2">
      <c r="B310" s="1" t="str">
        <f>+B253&amp;" - Commitment Fee"</f>
        <v>Revolving Credit Facility - Commitment Fee</v>
      </c>
      <c r="K310" s="15">
        <f ca="1">+K261</f>
        <v>0.25</v>
      </c>
      <c r="L310" s="15">
        <f ca="1">+L261</f>
        <v>0.25</v>
      </c>
      <c r="M310" s="15">
        <f ca="1">+M261</f>
        <v>0.25</v>
      </c>
      <c r="N310" s="15">
        <f ca="1">+N261</f>
        <v>0.25</v>
      </c>
      <c r="O310" s="15">
        <f ca="1">+O261</f>
        <v>0.25</v>
      </c>
    </row>
    <row r="311" spans="1:15" ht="12.95" customHeight="1" x14ac:dyDescent="0.2">
      <c r="B311" s="1" t="str">
        <f>+B253&amp;" - Drawn Interest Expense"</f>
        <v>Revolving Credit Facility - Drawn Interest Expense</v>
      </c>
      <c r="K311" s="16">
        <f ca="1">+K260</f>
        <v>0</v>
      </c>
      <c r="L311" s="16">
        <f ca="1">+L260</f>
        <v>0</v>
      </c>
      <c r="M311" s="16">
        <f ca="1">+M260</f>
        <v>0</v>
      </c>
      <c r="N311" s="16">
        <f ca="1">+N260</f>
        <v>0</v>
      </c>
      <c r="O311" s="16">
        <f ca="1">+O260</f>
        <v>0</v>
      </c>
    </row>
    <row r="312" spans="1:15" ht="12.95" customHeight="1" x14ac:dyDescent="0.2">
      <c r="B312" s="1" t="str">
        <f>+B266</f>
        <v>First Lien Term Loan</v>
      </c>
      <c r="K312" s="16">
        <f ca="1">+K274</f>
        <v>19.334198412274027</v>
      </c>
      <c r="L312" s="16">
        <f ca="1">+L274</f>
        <v>14.839083941226935</v>
      </c>
      <c r="M312" s="16">
        <f ca="1">+M274</f>
        <v>9.5370863807024016</v>
      </c>
      <c r="N312" s="16">
        <f ca="1">+N274</f>
        <v>3.3244340017494998</v>
      </c>
      <c r="O312" s="16">
        <f ca="1">+O274</f>
        <v>0</v>
      </c>
    </row>
    <row r="313" spans="1:15" ht="12.95" customHeight="1" x14ac:dyDescent="0.2">
      <c r="B313" s="1" t="str">
        <f>+B277</f>
        <v>Second Lien Term Loan</v>
      </c>
      <c r="K313" s="16">
        <f ca="1">+K285</f>
        <v>0</v>
      </c>
      <c r="L313" s="16">
        <f ca="1">+L285</f>
        <v>0</v>
      </c>
      <c r="M313" s="16">
        <f ca="1">+M285</f>
        <v>0</v>
      </c>
      <c r="N313" s="16">
        <f ca="1">+N285</f>
        <v>0</v>
      </c>
      <c r="O313" s="16">
        <f ca="1">+O285</f>
        <v>0</v>
      </c>
    </row>
    <row r="314" spans="1:15" ht="12.95" customHeight="1" x14ac:dyDescent="0.2">
      <c r="B314" s="4" t="str">
        <f>+B288</f>
        <v>Notes</v>
      </c>
      <c r="C314" s="4"/>
      <c r="D314" s="4"/>
      <c r="E314" s="4"/>
      <c r="F314" s="4"/>
      <c r="G314" s="4"/>
      <c r="H314" s="4"/>
      <c r="I314" s="4"/>
      <c r="J314" s="4"/>
      <c r="K314" s="35">
        <f ca="1">+K294</f>
        <v>48.671667499999984</v>
      </c>
      <c r="L314" s="35">
        <f ca="1">+L294</f>
        <v>48.671667499999984</v>
      </c>
      <c r="M314" s="35">
        <f ca="1">+M294</f>
        <v>48.671667499999984</v>
      </c>
      <c r="N314" s="35">
        <f ca="1">+N294</f>
        <v>48.671667499999984</v>
      </c>
      <c r="O314" s="35">
        <f ca="1">+O294</f>
        <v>48.671667499999984</v>
      </c>
    </row>
    <row r="315" spans="1:15" ht="12.95" customHeight="1" x14ac:dyDescent="0.2">
      <c r="B315" s="226" t="s">
        <v>112</v>
      </c>
      <c r="C315" s="226"/>
      <c r="D315" s="226"/>
      <c r="E315" s="226"/>
      <c r="F315" s="226"/>
      <c r="G315" s="226"/>
      <c r="H315" s="226"/>
      <c r="I315" s="226"/>
      <c r="J315" s="226"/>
      <c r="K315" s="37">
        <f ca="1">SUM(K310:K314)</f>
        <v>68.255865912274004</v>
      </c>
      <c r="L315" s="37">
        <f ca="1">SUM(L310:L314)</f>
        <v>63.760751441226915</v>
      </c>
      <c r="M315" s="37">
        <f ca="1">SUM(M310:M314)</f>
        <v>58.458753880702389</v>
      </c>
      <c r="N315" s="37">
        <f ca="1">SUM(N310:N314)</f>
        <v>52.246101501749486</v>
      </c>
      <c r="O315" s="37">
        <f ca="1">SUM(O310:O314)</f>
        <v>48.921667499999984</v>
      </c>
    </row>
    <row r="316" spans="1:15" ht="12.95" customHeight="1" x14ac:dyDescent="0.2">
      <c r="B316" s="3" t="s">
        <v>113</v>
      </c>
      <c r="C316" s="3"/>
      <c r="D316" s="3"/>
      <c r="E316" s="3"/>
      <c r="F316" s="3"/>
      <c r="G316" s="3"/>
      <c r="H316" s="3"/>
      <c r="I316" s="3"/>
      <c r="J316" s="3"/>
      <c r="K316" s="62">
        <f ca="1">+K279</f>
        <v>16.223889166666662</v>
      </c>
      <c r="L316" s="62">
        <f t="shared" ref="L316:O316" ca="1" si="56">+L279</f>
        <v>17.575879930555548</v>
      </c>
      <c r="M316" s="62">
        <f t="shared" ca="1" si="56"/>
        <v>19.040536591435178</v>
      </c>
      <c r="N316" s="62">
        <f t="shared" ca="1" si="56"/>
        <v>20.49229246261693</v>
      </c>
      <c r="O316" s="62">
        <f t="shared" ca="1" si="56"/>
        <v>16.195162976154954</v>
      </c>
    </row>
    <row r="317" spans="1:15" s="76" customFormat="1" ht="12.95" customHeight="1" x14ac:dyDescent="0.2">
      <c r="B317" s="69" t="s">
        <v>108</v>
      </c>
      <c r="C317" s="69"/>
      <c r="D317" s="69"/>
      <c r="E317" s="69"/>
      <c r="F317" s="69"/>
      <c r="G317" s="69"/>
      <c r="H317" s="69"/>
      <c r="I317" s="69"/>
      <c r="J317" s="69"/>
      <c r="K317" s="96">
        <f ca="1">+SUM(K315:K316)</f>
        <v>84.47975507894067</v>
      </c>
      <c r="L317" s="96">
        <f ca="1">+SUM(L315:L316)</f>
        <v>81.33663137178246</v>
      </c>
      <c r="M317" s="96">
        <f ca="1">+SUM(M315:M316)</f>
        <v>77.499290472137574</v>
      </c>
      <c r="N317" s="96">
        <f ca="1">+SUM(N315:N316)</f>
        <v>72.738393964366423</v>
      </c>
      <c r="O317" s="96">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5" ht="12.95" customHeight="1" x14ac:dyDescent="0.35">
      <c r="K321" s="10" t="str">
        <f>+$K$32</f>
        <v>Fiscal Year Ended 12/31</v>
      </c>
      <c r="L321" s="11"/>
      <c r="M321" s="11"/>
      <c r="N321" s="11"/>
      <c r="O321" s="11"/>
    </row>
    <row r="322" spans="2:15" ht="12.95" customHeight="1" x14ac:dyDescent="0.2">
      <c r="K322" s="13">
        <f>+K138</f>
        <v>2020</v>
      </c>
      <c r="L322" s="13">
        <f>+K322+1</f>
        <v>2021</v>
      </c>
      <c r="M322" s="13">
        <f>+L322+1</f>
        <v>2022</v>
      </c>
      <c r="N322" s="13">
        <f>+M322+1</f>
        <v>2023</v>
      </c>
      <c r="O322" s="13">
        <f>+N322+1</f>
        <v>2024</v>
      </c>
    </row>
    <row r="323" spans="2:15" ht="12.95" customHeight="1" x14ac:dyDescent="0.2">
      <c r="B323" s="1" t="s">
        <v>35</v>
      </c>
      <c r="K323" s="54">
        <f>+K120</f>
        <v>211.13616104999991</v>
      </c>
      <c r="L323" s="54">
        <f t="shared" ref="L323:O323" si="57">+L120</f>
        <v>231.22441616399993</v>
      </c>
      <c r="M323" s="54">
        <f t="shared" si="57"/>
        <v>253.09045980481494</v>
      </c>
      <c r="N323" s="54">
        <f t="shared" si="57"/>
        <v>276.88474991614049</v>
      </c>
      <c r="O323" s="54">
        <f t="shared" si="57"/>
        <v>302.770097390008</v>
      </c>
    </row>
    <row r="324" spans="2:15" ht="12.95" customHeight="1" x14ac:dyDescent="0.2">
      <c r="B324" s="4" t="s">
        <v>200</v>
      </c>
      <c r="C324" s="4"/>
      <c r="D324" s="4"/>
      <c r="E324" s="4"/>
      <c r="F324" s="4"/>
      <c r="G324" s="4"/>
      <c r="H324" s="4"/>
      <c r="I324" s="4"/>
      <c r="J324" s="4"/>
      <c r="K324" s="253">
        <f>+$M$19</f>
        <v>10</v>
      </c>
      <c r="L324" s="253">
        <f>+$M$19</f>
        <v>10</v>
      </c>
      <c r="M324" s="253">
        <f>+$M$19</f>
        <v>10</v>
      </c>
      <c r="N324" s="253">
        <f>+$M$19</f>
        <v>10</v>
      </c>
      <c r="O324" s="253">
        <f>+$M$19</f>
        <v>10</v>
      </c>
    </row>
    <row r="325" spans="2:15" ht="12.95" customHeight="1" x14ac:dyDescent="0.2">
      <c r="B325" s="226" t="s">
        <v>201</v>
      </c>
      <c r="C325" s="226"/>
      <c r="D325" s="226"/>
      <c r="E325" s="226"/>
      <c r="F325" s="226"/>
      <c r="G325" s="226"/>
      <c r="H325" s="226"/>
      <c r="I325" s="226"/>
      <c r="J325" s="226"/>
      <c r="K325" s="37">
        <f>+K323*K324</f>
        <v>2111.3616104999992</v>
      </c>
      <c r="L325" s="37">
        <f t="shared" ref="L325:O325" si="58">+L323*L324</f>
        <v>2312.2441616399992</v>
      </c>
      <c r="M325" s="37">
        <f t="shared" si="58"/>
        <v>2530.9045980481496</v>
      </c>
      <c r="N325" s="37">
        <f t="shared" si="58"/>
        <v>2768.8474991614048</v>
      </c>
      <c r="O325" s="37">
        <f t="shared" si="58"/>
        <v>3027.70097390008</v>
      </c>
    </row>
    <row r="326" spans="2:15" ht="12.95" customHeight="1" x14ac:dyDescent="0.2">
      <c r="B326" s="1" t="s">
        <v>202</v>
      </c>
      <c r="K326" s="16">
        <f ca="1">-K163</f>
        <v>-1011.3156546129949</v>
      </c>
      <c r="L326" s="16">
        <f t="shared" ref="L326:O326" ca="1" si="59">-L163</f>
        <v>-941.1177460591457</v>
      </c>
      <c r="M326" s="16">
        <f t="shared" ca="1" si="59"/>
        <v>-855.13215984318435</v>
      </c>
      <c r="N326" s="16">
        <f t="shared" ca="1" si="59"/>
        <v>-751.49701087676567</v>
      </c>
      <c r="O326" s="16">
        <f t="shared" ca="1" si="59"/>
        <v>-626.81541352710769</v>
      </c>
    </row>
    <row r="327" spans="2:15" ht="12.95" customHeight="1" x14ac:dyDescent="0.2">
      <c r="B327" s="4" t="s">
        <v>203</v>
      </c>
      <c r="C327" s="4"/>
      <c r="D327" s="4"/>
      <c r="E327" s="4"/>
      <c r="F327" s="4"/>
      <c r="G327" s="4"/>
      <c r="H327" s="4"/>
      <c r="I327" s="4"/>
      <c r="J327" s="4"/>
      <c r="K327" s="35">
        <f ca="1">+K139</f>
        <v>5</v>
      </c>
      <c r="L327" s="35">
        <f t="shared" ref="L327:O327" ca="1" si="60">+L139</f>
        <v>5</v>
      </c>
      <c r="M327" s="35">
        <f t="shared" ca="1" si="60"/>
        <v>5</v>
      </c>
      <c r="N327" s="35">
        <f t="shared" ca="1" si="60"/>
        <v>5</v>
      </c>
      <c r="O327" s="35">
        <f t="shared" ca="1" si="60"/>
        <v>5</v>
      </c>
    </row>
    <row r="328" spans="2:15" ht="12.95" customHeight="1" x14ac:dyDescent="0.2">
      <c r="B328" s="226" t="s">
        <v>204</v>
      </c>
      <c r="C328" s="226"/>
      <c r="D328" s="226"/>
      <c r="E328" s="226"/>
      <c r="F328" s="226"/>
      <c r="G328" s="226"/>
      <c r="H328" s="226"/>
      <c r="I328" s="226"/>
      <c r="J328" s="226"/>
      <c r="K328" s="37">
        <f ca="1">+SUM(K325:K327)</f>
        <v>1105.0459558870043</v>
      </c>
      <c r="L328" s="37">
        <f t="shared" ref="L328:O328" ca="1" si="61">+SUM(L325:L327)</f>
        <v>1376.1264155808535</v>
      </c>
      <c r="M328" s="37">
        <f t="shared" ca="1" si="61"/>
        <v>1680.7724382049653</v>
      </c>
      <c r="N328" s="37">
        <f t="shared" ca="1" si="61"/>
        <v>2022.3504882846391</v>
      </c>
      <c r="O328" s="37">
        <f t="shared" ca="1" si="61"/>
        <v>2405.8855603729726</v>
      </c>
    </row>
    <row r="329" spans="2:15" ht="12.95" customHeight="1" x14ac:dyDescent="0.2">
      <c r="B329" s="3" t="s">
        <v>336</v>
      </c>
      <c r="C329" s="3"/>
      <c r="D329" s="3"/>
      <c r="E329" s="3"/>
      <c r="F329" s="3"/>
      <c r="G329" s="3"/>
      <c r="H329" s="3"/>
      <c r="I329" s="3"/>
      <c r="J329" s="3"/>
      <c r="K329" s="66">
        <f>-$F$52</f>
        <v>-977.38021669999966</v>
      </c>
      <c r="L329" s="66">
        <f>-$F$52</f>
        <v>-977.38021669999966</v>
      </c>
      <c r="M329" s="66">
        <f>-$F$52</f>
        <v>-977.38021669999966</v>
      </c>
      <c r="N329" s="66">
        <f>-$F$52</f>
        <v>-977.38021669999966</v>
      </c>
      <c r="O329" s="66">
        <f>-$F$52</f>
        <v>-977.38021669999966</v>
      </c>
    </row>
    <row r="330" spans="2:15" ht="12.95" customHeight="1" x14ac:dyDescent="0.2">
      <c r="B330" s="69" t="s">
        <v>207</v>
      </c>
      <c r="C330" s="69"/>
      <c r="D330" s="69"/>
      <c r="E330" s="69"/>
      <c r="F330" s="69"/>
      <c r="G330" s="69"/>
      <c r="H330" s="69"/>
      <c r="I330" s="69"/>
      <c r="J330" s="69"/>
      <c r="K330" s="71">
        <f ca="1">+MAX(SUM(K328:K329),0)</f>
        <v>127.66573918700465</v>
      </c>
      <c r="L330" s="71">
        <f t="shared" ref="L330:O330" ca="1" si="62">+MAX(SUM(L328:L329),0)</f>
        <v>398.74619888085385</v>
      </c>
      <c r="M330" s="71">
        <f t="shared" ca="1" si="62"/>
        <v>703.39222150496562</v>
      </c>
      <c r="N330" s="71">
        <f t="shared" ca="1" si="62"/>
        <v>1044.9702715846395</v>
      </c>
      <c r="O330" s="71">
        <f t="shared" ca="1" si="62"/>
        <v>1428.5053436729729</v>
      </c>
    </row>
    <row r="332" spans="2:15" ht="12.95" customHeight="1" x14ac:dyDescent="0.2">
      <c r="F332" s="1" t="s">
        <v>205</v>
      </c>
      <c r="J332" s="250">
        <f>+M28</f>
        <v>0.1</v>
      </c>
      <c r="K332" s="15">
        <f ca="1">+K330*$J$332</f>
        <v>12.766573918700466</v>
      </c>
      <c r="L332" s="15">
        <f t="shared" ref="L332:O332" ca="1" si="63">+L330*$J$332</f>
        <v>39.874619888085391</v>
      </c>
      <c r="M332" s="15">
        <f t="shared" ca="1" si="63"/>
        <v>70.339222150496568</v>
      </c>
      <c r="N332" s="15">
        <f t="shared" ca="1" si="63"/>
        <v>104.49702715846395</v>
      </c>
      <c r="O332" s="15">
        <f t="shared" ca="1" si="63"/>
        <v>142.85053436729729</v>
      </c>
    </row>
    <row r="334" spans="2:15" ht="12.95" customHeight="1" x14ac:dyDescent="0.2">
      <c r="F334" s="1" t="s">
        <v>208</v>
      </c>
      <c r="K334" s="254">
        <f ca="1">+K328-K332</f>
        <v>1092.2793819683038</v>
      </c>
      <c r="L334" s="254">
        <f t="shared" ref="L334:O334" ca="1" si="64">+L328-L332</f>
        <v>1336.2517956927682</v>
      </c>
      <c r="M334" s="254">
        <f t="shared" ca="1" si="64"/>
        <v>1610.4332160544686</v>
      </c>
      <c r="N334" s="254">
        <f t="shared" ca="1" si="64"/>
        <v>1917.8534611261753</v>
      </c>
      <c r="O334" s="254">
        <f t="shared" ca="1" si="64"/>
        <v>2263.0350260056753</v>
      </c>
    </row>
    <row r="335" spans="2:15" customFormat="1" ht="3" customHeight="1" x14ac:dyDescent="0.25"/>
    <row r="336" spans="2:15"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f ca="1">+IRR(J338:O338)</f>
        <v>0.11755830873705064</v>
      </c>
      <c r="H338" s="259">
        <f ca="1">+SUM(K338:O338)/-J338</f>
        <v>1.1175583087370509</v>
      </c>
      <c r="J338" s="255">
        <f>-$F$52</f>
        <v>-977.38021669999966</v>
      </c>
      <c r="K338" s="256">
        <f t="shared" ref="K338:O342" ca="1" si="65">+IF(K$322=$F338,K$334,0)</f>
        <v>1092.2793819683038</v>
      </c>
      <c r="L338" s="256">
        <f t="shared" si="65"/>
        <v>0</v>
      </c>
      <c r="M338" s="256">
        <f t="shared" si="65"/>
        <v>0</v>
      </c>
      <c r="N338" s="256">
        <f t="shared" si="65"/>
        <v>0</v>
      </c>
      <c r="O338" s="257">
        <f t="shared" si="65"/>
        <v>0</v>
      </c>
    </row>
    <row r="339" spans="6:15" ht="12.95" customHeight="1" x14ac:dyDescent="0.2">
      <c r="F339" s="252">
        <v>2021</v>
      </c>
      <c r="G339" s="258">
        <f ca="1">+IRR(J339:O339)</f>
        <v>0.16926346225305466</v>
      </c>
      <c r="H339" s="259">
        <f ca="1">+SUM(K339:O339)/-J339</f>
        <v>1.3671770441645041</v>
      </c>
      <c r="J339" s="104">
        <f>-$F$52</f>
        <v>-977.38021669999966</v>
      </c>
      <c r="K339" s="16">
        <f t="shared" si="65"/>
        <v>0</v>
      </c>
      <c r="L339" s="16">
        <f t="shared" ca="1" si="65"/>
        <v>1336.2517956927682</v>
      </c>
      <c r="M339" s="16">
        <f t="shared" si="65"/>
        <v>0</v>
      </c>
      <c r="N339" s="16">
        <f t="shared" si="65"/>
        <v>0</v>
      </c>
      <c r="O339" s="236">
        <f t="shared" si="65"/>
        <v>0</v>
      </c>
    </row>
    <row r="340" spans="6:15" ht="12.95" customHeight="1" x14ac:dyDescent="0.2">
      <c r="F340" s="252">
        <v>2022</v>
      </c>
      <c r="G340" s="258">
        <f ca="1">+IRR(J340:O340)</f>
        <v>0.18111737540040695</v>
      </c>
      <c r="H340" s="259">
        <f ca="1">+SUM(K340:O340)/-J340</f>
        <v>1.6477039217060194</v>
      </c>
      <c r="J340" s="104">
        <f>-$F$52</f>
        <v>-977.38021669999966</v>
      </c>
      <c r="K340" s="16">
        <f t="shared" si="65"/>
        <v>0</v>
      </c>
      <c r="L340" s="16">
        <f t="shared" si="65"/>
        <v>0</v>
      </c>
      <c r="M340" s="16">
        <f t="shared" ca="1" si="65"/>
        <v>1610.4332160544686</v>
      </c>
      <c r="N340" s="16">
        <f t="shared" si="65"/>
        <v>0</v>
      </c>
      <c r="O340" s="236">
        <f t="shared" si="65"/>
        <v>0</v>
      </c>
    </row>
    <row r="341" spans="6:15" ht="12.95" customHeight="1" x14ac:dyDescent="0.2">
      <c r="F341" s="252">
        <v>2023</v>
      </c>
      <c r="G341" s="258">
        <f ca="1">+IRR(J341:O341)</f>
        <v>0.18355370455189535</v>
      </c>
      <c r="H341" s="259">
        <f ca="1">+SUM(K341:O341)/-J341</f>
        <v>1.9622388793601371</v>
      </c>
      <c r="J341" s="104">
        <f>-$F$52</f>
        <v>-977.38021669999966</v>
      </c>
      <c r="K341" s="16">
        <f t="shared" si="65"/>
        <v>0</v>
      </c>
      <c r="L341" s="16">
        <f t="shared" si="65"/>
        <v>0</v>
      </c>
      <c r="M341" s="16">
        <f t="shared" si="65"/>
        <v>0</v>
      </c>
      <c r="N341" s="16">
        <f t="shared" ca="1" si="65"/>
        <v>1917.8534611261753</v>
      </c>
      <c r="O341" s="236">
        <f t="shared" si="65"/>
        <v>0</v>
      </c>
    </row>
    <row r="342" spans="6:15" ht="12.95" customHeight="1" x14ac:dyDescent="0.2">
      <c r="F342" s="252">
        <v>2024</v>
      </c>
      <c r="G342" s="258">
        <f ca="1">+IRR(J342:O342)</f>
        <v>0.18283875727886101</v>
      </c>
      <c r="H342" s="259">
        <f ca="1">+SUM(K342:O342)/-J342</f>
        <v>2.315409077591652</v>
      </c>
      <c r="J342" s="105">
        <f>-$F$52</f>
        <v>-977.38021669999966</v>
      </c>
      <c r="K342" s="66">
        <f t="shared" si="65"/>
        <v>0</v>
      </c>
      <c r="L342" s="66">
        <f t="shared" si="65"/>
        <v>0</v>
      </c>
      <c r="M342" s="66">
        <f t="shared" si="65"/>
        <v>0</v>
      </c>
      <c r="N342" s="66">
        <f t="shared" si="65"/>
        <v>0</v>
      </c>
      <c r="O342" s="237">
        <f t="shared" ca="1" si="65"/>
        <v>2263.0350260056753</v>
      </c>
    </row>
  </sheetData>
  <conditionalFormatting sqref="A1:A1048576">
    <cfRule type="expression" dxfId="2" priority="1">
      <formula>$E$13&gt;0</formula>
    </cfRule>
  </conditionalFormatting>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21613-DDC2-4D3E-98C8-B68E4719C6D5}">
  <dimension ref="A2:X342"/>
  <sheetViews>
    <sheetView showGridLines="0" topLeftCell="A12" zoomScale="130" zoomScaleNormal="130" zoomScaleSheetLayoutView="85" workbookViewId="0">
      <selection activeCell="A32" sqref="A32"/>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8" width="3.7109375" style="1" customWidth="1"/>
    <col min="19"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8" ht="12.95" customHeight="1" x14ac:dyDescent="0.2">
      <c r="H33" s="29" t="s">
        <v>152</v>
      </c>
      <c r="I33" s="29" t="s">
        <v>154</v>
      </c>
      <c r="J33" s="29" t="s">
        <v>153</v>
      </c>
      <c r="K33" s="13">
        <f>+$K$103</f>
        <v>2020</v>
      </c>
      <c r="L33" s="13">
        <f>+$L$103</f>
        <v>2021</v>
      </c>
      <c r="M33" s="13">
        <f>+$M$103</f>
        <v>2022</v>
      </c>
      <c r="N33" s="13">
        <f>+$N$103</f>
        <v>2023</v>
      </c>
      <c r="O33" s="13">
        <f>+$O$103</f>
        <v>2024</v>
      </c>
    </row>
    <row r="34" spans="1:18" ht="12.95" customHeight="1" x14ac:dyDescent="0.2">
      <c r="F34" s="1" t="str">
        <f>+B48</f>
        <v>Revolving Credit Facility</v>
      </c>
      <c r="H34" s="32">
        <v>5</v>
      </c>
      <c r="I34" s="246"/>
      <c r="J34" s="246"/>
      <c r="K34" s="247"/>
      <c r="L34" s="247"/>
      <c r="M34" s="247"/>
      <c r="N34" s="247"/>
      <c r="O34" s="247"/>
      <c r="Q34" s="267" t="s">
        <v>313</v>
      </c>
    </row>
    <row r="35" spans="1:18" ht="12.95" customHeight="1" x14ac:dyDescent="0.2">
      <c r="F35" s="1" t="str">
        <f>+B49</f>
        <v>First Lien Term Loan</v>
      </c>
      <c r="H35" s="34">
        <v>5</v>
      </c>
      <c r="I35" s="248"/>
      <c r="J35" s="249"/>
      <c r="K35" s="249"/>
      <c r="L35" s="249"/>
      <c r="M35" s="249"/>
      <c r="N35" s="249"/>
      <c r="O35" s="249"/>
      <c r="Q35" s="267"/>
      <c r="R35" s="266" t="s">
        <v>314</v>
      </c>
    </row>
    <row r="36" spans="1:18" ht="12.95" customHeight="1" x14ac:dyDescent="0.2">
      <c r="F36" s="1" t="str">
        <f>+B50</f>
        <v>Second Lien Term Loan</v>
      </c>
      <c r="G36" s="25"/>
      <c r="H36" s="34">
        <v>7</v>
      </c>
      <c r="I36" s="248"/>
      <c r="J36" s="249"/>
      <c r="K36" s="249"/>
      <c r="L36" s="249"/>
      <c r="M36" s="249"/>
      <c r="N36" s="249"/>
      <c r="O36" s="249"/>
      <c r="R36" s="266" t="s">
        <v>229</v>
      </c>
    </row>
    <row r="37" spans="1:18" ht="12.95" customHeight="1" x14ac:dyDescent="0.2">
      <c r="F37" s="1" t="str">
        <f>+B51</f>
        <v>Notes</v>
      </c>
      <c r="G37" s="25"/>
      <c r="H37" s="34">
        <v>10</v>
      </c>
      <c r="I37" s="248"/>
      <c r="J37" s="249"/>
      <c r="K37" s="249"/>
      <c r="L37" s="249"/>
      <c r="M37" s="249"/>
      <c r="N37" s="249"/>
      <c r="O37" s="249"/>
      <c r="R37" s="266" t="s">
        <v>315</v>
      </c>
    </row>
    <row r="38" spans="1:18" ht="12.95" customHeight="1" x14ac:dyDescent="0.2">
      <c r="F38" s="25"/>
      <c r="G38" s="25"/>
      <c r="H38" s="25"/>
      <c r="I38" s="25"/>
      <c r="K38" s="38"/>
      <c r="L38" s="38"/>
      <c r="M38" s="38"/>
      <c r="N38" s="38"/>
      <c r="O38" s="38"/>
    </row>
    <row r="39" spans="1:18" ht="12.95" customHeight="1" x14ac:dyDescent="0.2">
      <c r="F39" s="25"/>
      <c r="G39" s="25"/>
      <c r="H39" s="20" t="s">
        <v>90</v>
      </c>
      <c r="I39" s="18"/>
      <c r="J39" s="39"/>
      <c r="K39" s="22"/>
      <c r="L39" s="22"/>
      <c r="M39" s="22"/>
      <c r="N39" s="22"/>
      <c r="O39" s="23"/>
      <c r="Q39" s="267" t="s">
        <v>230</v>
      </c>
    </row>
    <row r="40" spans="1:18" ht="12.95" customHeight="1" x14ac:dyDescent="0.2">
      <c r="F40" s="25"/>
      <c r="G40" s="25"/>
      <c r="H40" s="40" t="s">
        <v>156</v>
      </c>
      <c r="I40" s="3"/>
      <c r="J40" s="41"/>
      <c r="K40" s="42"/>
      <c r="L40" s="42"/>
      <c r="M40" s="42"/>
      <c r="N40" s="42"/>
      <c r="O40" s="43"/>
      <c r="Q40" s="267" t="s">
        <v>231</v>
      </c>
    </row>
    <row r="42" spans="1:18" ht="13.5" thickBot="1" x14ac:dyDescent="0.25">
      <c r="A42" s="1" t="s">
        <v>39</v>
      </c>
      <c r="B42" s="47" t="str">
        <f>+E4</f>
        <v>Gooey Cookies</v>
      </c>
      <c r="C42" s="48"/>
      <c r="D42" s="48"/>
      <c r="E42" s="48"/>
      <c r="F42" s="48"/>
      <c r="G42" s="48"/>
      <c r="H42" s="48"/>
      <c r="I42" s="48"/>
      <c r="J42" s="48"/>
      <c r="K42" s="48"/>
      <c r="L42" s="48"/>
      <c r="M42" s="48"/>
      <c r="N42" s="48"/>
      <c r="O42" s="48"/>
    </row>
    <row r="43" spans="1:18" ht="12.95" customHeight="1" x14ac:dyDescent="0.2">
      <c r="B43" s="49" t="s">
        <v>4</v>
      </c>
      <c r="C43" s="4"/>
      <c r="D43" s="4"/>
      <c r="E43" s="4"/>
      <c r="F43" s="4"/>
      <c r="G43" s="4"/>
      <c r="H43" s="4"/>
      <c r="I43" s="4"/>
      <c r="J43" s="4"/>
      <c r="K43" s="4"/>
      <c r="L43" s="4"/>
      <c r="M43" s="4"/>
      <c r="N43" s="4"/>
      <c r="O43" s="4"/>
    </row>
    <row r="44" spans="1:18" ht="12.95" customHeight="1" x14ac:dyDescent="0.2">
      <c r="B44" s="4"/>
      <c r="C44" s="4"/>
      <c r="D44" s="4"/>
      <c r="E44" s="4"/>
      <c r="F44" s="4"/>
      <c r="G44" s="4"/>
      <c r="H44" s="4"/>
      <c r="I44" s="4"/>
      <c r="J44" s="4"/>
      <c r="K44" s="4"/>
      <c r="L44" s="4"/>
      <c r="M44" s="4"/>
      <c r="N44" s="4"/>
      <c r="O44" s="4"/>
    </row>
    <row r="45" spans="1:18" ht="12.95" customHeight="1" x14ac:dyDescent="0.2">
      <c r="A45" s="1" t="s">
        <v>39</v>
      </c>
      <c r="B45" s="50" t="s">
        <v>105</v>
      </c>
      <c r="C45" s="51"/>
      <c r="D45" s="51"/>
      <c r="E45" s="51"/>
      <c r="F45" s="51"/>
      <c r="G45" s="51"/>
      <c r="H45" s="51"/>
      <c r="I45" s="51"/>
      <c r="J45" s="51"/>
      <c r="K45" s="51"/>
      <c r="L45" s="51"/>
      <c r="M45" s="51"/>
      <c r="N45" s="51"/>
      <c r="O45" s="51"/>
    </row>
    <row r="46" spans="1:18" ht="12.95" customHeight="1" x14ac:dyDescent="0.2">
      <c r="B46" s="4"/>
      <c r="C46" s="4"/>
      <c r="D46" s="4"/>
      <c r="E46" s="4"/>
      <c r="F46" s="4"/>
      <c r="G46" s="4"/>
      <c r="H46" s="4"/>
      <c r="I46" s="4"/>
      <c r="J46" s="4"/>
      <c r="K46" s="4"/>
      <c r="L46" s="4"/>
      <c r="M46" s="4"/>
      <c r="N46" s="4"/>
      <c r="O46" s="4"/>
    </row>
    <row r="47" spans="1:18" ht="12.95" customHeight="1" x14ac:dyDescent="0.2">
      <c r="B47" s="2" t="s">
        <v>5</v>
      </c>
      <c r="C47" s="3"/>
      <c r="D47" s="3"/>
      <c r="E47" s="2" t="s">
        <v>134</v>
      </c>
      <c r="F47" s="29" t="s">
        <v>135</v>
      </c>
      <c r="G47" s="29" t="s">
        <v>136</v>
      </c>
      <c r="I47" s="2" t="s">
        <v>6</v>
      </c>
      <c r="J47" s="3"/>
      <c r="K47" s="3"/>
      <c r="L47" s="3"/>
      <c r="M47" s="29" t="s">
        <v>135</v>
      </c>
    </row>
    <row r="48" spans="1:18"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0.19230769230769232</v>
      </c>
      <c r="I49" s="33" t="s">
        <v>14</v>
      </c>
      <c r="M49" s="16">
        <f>+SUM(J34:J37)</f>
        <v>0</v>
      </c>
    </row>
    <row r="50" spans="1:15" ht="12.95" customHeight="1" x14ac:dyDescent="0.2">
      <c r="B50" s="56" t="s">
        <v>9</v>
      </c>
      <c r="E50" s="57">
        <v>1</v>
      </c>
      <c r="F50" s="16">
        <f>+E50*$M$24</f>
        <v>194.68666999999994</v>
      </c>
      <c r="G50" s="58">
        <f>+F50/F$53</f>
        <v>9.6153846153846159E-2</v>
      </c>
      <c r="I50" s="33" t="s">
        <v>15</v>
      </c>
      <c r="M50" s="16">
        <f>+M21*E21</f>
        <v>77.874667999999971</v>
      </c>
    </row>
    <row r="51" spans="1:15" ht="12.95" customHeight="1" x14ac:dyDescent="0.2">
      <c r="B51" s="59" t="s">
        <v>10</v>
      </c>
      <c r="C51" s="60"/>
      <c r="D51" s="60"/>
      <c r="E51" s="61">
        <v>2.5</v>
      </c>
      <c r="F51" s="62">
        <f>+E51*$M$24</f>
        <v>486.71667499999984</v>
      </c>
      <c r="G51" s="63">
        <f>+F51/F$53</f>
        <v>0.24038461538461539</v>
      </c>
      <c r="M51" s="64"/>
    </row>
    <row r="52" spans="1:15" ht="12.95" customHeight="1" x14ac:dyDescent="0.2">
      <c r="B52" s="27" t="s">
        <v>11</v>
      </c>
      <c r="C52" s="3"/>
      <c r="D52" s="3"/>
      <c r="E52" s="65">
        <f>+F52/M24</f>
        <v>4.9000000000000004</v>
      </c>
      <c r="F52" s="66">
        <f>+M53-SUM(F48:F51)</f>
        <v>953.9646829999997</v>
      </c>
      <c r="G52" s="67">
        <f>+F52/F$53</f>
        <v>0.47115384615384615</v>
      </c>
      <c r="I52" s="3"/>
      <c r="J52" s="3"/>
      <c r="K52" s="3"/>
      <c r="L52" s="3"/>
      <c r="M52" s="68"/>
    </row>
    <row r="53" spans="1:15" ht="12.95" customHeight="1" x14ac:dyDescent="0.2">
      <c r="B53" s="30" t="s">
        <v>12</v>
      </c>
      <c r="C53" s="69"/>
      <c r="D53" s="69"/>
      <c r="E53" s="70">
        <f>SUM(E48:E52)</f>
        <v>10.4</v>
      </c>
      <c r="F53" s="71">
        <f>+SUM(F48:F52)</f>
        <v>2024.7413679999993</v>
      </c>
      <c r="G53" s="72">
        <f>SUM(G48:G52)</f>
        <v>1</v>
      </c>
      <c r="I53" s="30" t="s">
        <v>16</v>
      </c>
      <c r="J53" s="69"/>
      <c r="K53" s="69"/>
      <c r="L53" s="69"/>
      <c r="M53" s="71">
        <f>+SUM(M48:M52)</f>
        <v>2024.7413679999993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c r="L104" s="232"/>
      <c r="M104" s="232"/>
      <c r="N104" s="232"/>
      <c r="O104" s="232"/>
    </row>
    <row r="105" spans="1:17" ht="12.95" customHeight="1" x14ac:dyDescent="0.2">
      <c r="B105" s="3" t="s">
        <v>24</v>
      </c>
      <c r="C105" s="3"/>
      <c r="D105" s="3"/>
      <c r="E105" s="3"/>
      <c r="F105" s="3"/>
      <c r="G105" s="3"/>
      <c r="H105" s="120">
        <v>-513</v>
      </c>
      <c r="I105" s="120">
        <v>-547.947</v>
      </c>
      <c r="J105" s="127">
        <v>-585.2728800000001</v>
      </c>
      <c r="K105" s="233"/>
      <c r="L105" s="233"/>
      <c r="M105" s="233"/>
      <c r="N105" s="233"/>
      <c r="O105" s="233"/>
    </row>
    <row r="106" spans="1:17" ht="12.95" customHeight="1" x14ac:dyDescent="0.2">
      <c r="B106" s="4" t="s">
        <v>17</v>
      </c>
      <c r="C106" s="4"/>
      <c r="D106" s="4"/>
      <c r="E106" s="4"/>
      <c r="F106" s="4"/>
      <c r="G106" s="4"/>
      <c r="H106" s="121">
        <f t="shared" ref="H106:J106" si="0">SUM(H104:H105)</f>
        <v>387</v>
      </c>
      <c r="I106" s="121">
        <f t="shared" si="0"/>
        <v>415.053</v>
      </c>
      <c r="J106" s="126">
        <f t="shared" si="0"/>
        <v>445.13711999999998</v>
      </c>
      <c r="K106" s="62"/>
      <c r="L106" s="62"/>
      <c r="M106" s="62"/>
      <c r="N106" s="62"/>
      <c r="O106" s="62"/>
    </row>
    <row r="107" spans="1:17" ht="12.95" customHeight="1" x14ac:dyDescent="0.2">
      <c r="B107" s="3" t="s">
        <v>18</v>
      </c>
      <c r="C107" s="3"/>
      <c r="D107" s="3"/>
      <c r="E107" s="3"/>
      <c r="F107" s="3"/>
      <c r="G107" s="3"/>
      <c r="H107" s="120">
        <v>-252.00000000000003</v>
      </c>
      <c r="I107" s="120">
        <v>-270.60300000000001</v>
      </c>
      <c r="J107" s="127">
        <v>-290.57562000000007</v>
      </c>
      <c r="K107" s="62"/>
      <c r="L107" s="62"/>
      <c r="M107" s="62"/>
      <c r="N107" s="62"/>
      <c r="O107" s="62"/>
    </row>
    <row r="108" spans="1:17" ht="12.95" customHeight="1" x14ac:dyDescent="0.2">
      <c r="B108" s="69" t="s">
        <v>25</v>
      </c>
      <c r="C108" s="69"/>
      <c r="D108" s="69"/>
      <c r="E108" s="69"/>
      <c r="F108" s="69"/>
      <c r="G108" s="69"/>
      <c r="H108" s="122">
        <f t="shared" ref="H108:J108" si="1">+SUM(H106:H107)</f>
        <v>134.99999999999997</v>
      </c>
      <c r="I108" s="122">
        <f t="shared" si="1"/>
        <v>144.44999999999999</v>
      </c>
      <c r="J108" s="128">
        <f t="shared" si="1"/>
        <v>154.56149999999991</v>
      </c>
      <c r="K108" s="96"/>
      <c r="L108" s="96"/>
      <c r="M108" s="96"/>
      <c r="N108" s="96"/>
      <c r="O108" s="96"/>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J111" si="2">+SUM(H108:H110)</f>
        <v>134.99999999999997</v>
      </c>
      <c r="I111" s="121">
        <f t="shared" si="2"/>
        <v>144.45499999999998</v>
      </c>
      <c r="J111" s="126">
        <f t="shared" si="2"/>
        <v>154.5689999999999</v>
      </c>
      <c r="K111" s="222"/>
      <c r="L111" s="222"/>
      <c r="M111" s="222"/>
      <c r="N111" s="222"/>
      <c r="O111" s="222"/>
    </row>
    <row r="112" spans="1:17" ht="12.95" customHeight="1" x14ac:dyDescent="0.2">
      <c r="B112" s="4" t="s">
        <v>22</v>
      </c>
      <c r="C112" s="4"/>
      <c r="D112" s="4"/>
      <c r="E112" s="4"/>
      <c r="F112" s="4"/>
      <c r="G112" s="4"/>
      <c r="H112" s="120">
        <v>-47.249999999999986</v>
      </c>
      <c r="I112" s="120">
        <v>-37.558299999999996</v>
      </c>
      <c r="J112" s="127">
        <v>-40.187939999999976</v>
      </c>
      <c r="K112" s="62"/>
      <c r="L112" s="62"/>
      <c r="M112" s="62"/>
      <c r="N112" s="62"/>
      <c r="O112" s="62"/>
    </row>
    <row r="113" spans="2:17" ht="12.95" customHeight="1" x14ac:dyDescent="0.2">
      <c r="B113" s="20" t="s">
        <v>23</v>
      </c>
      <c r="C113" s="21"/>
      <c r="D113" s="21"/>
      <c r="E113" s="21"/>
      <c r="F113" s="21"/>
      <c r="G113" s="21"/>
      <c r="H113" s="122">
        <f t="shared" ref="H113:J113" si="3">+SUM(H111:H112)</f>
        <v>87.749999999999986</v>
      </c>
      <c r="I113" s="122">
        <f t="shared" si="3"/>
        <v>106.89669999999998</v>
      </c>
      <c r="J113" s="128">
        <f t="shared" si="3"/>
        <v>114.38105999999993</v>
      </c>
      <c r="K113" s="234"/>
      <c r="L113" s="234"/>
      <c r="M113" s="234"/>
      <c r="N113" s="234"/>
      <c r="O113" s="235"/>
    </row>
    <row r="114" spans="2:17" ht="12.95" customHeight="1" x14ac:dyDescent="0.2">
      <c r="B114" s="4"/>
      <c r="C114" s="4"/>
      <c r="D114" s="4"/>
      <c r="E114" s="4"/>
      <c r="F114" s="4"/>
      <c r="G114" s="4"/>
      <c r="H114" s="123"/>
      <c r="I114" s="123"/>
      <c r="J114" s="124"/>
      <c r="K114" s="244"/>
      <c r="L114" s="244"/>
      <c r="M114" s="244"/>
      <c r="N114" s="244"/>
      <c r="O114" s="244"/>
    </row>
    <row r="115" spans="2:17" ht="12.95" customHeight="1" x14ac:dyDescent="0.2">
      <c r="B115" s="2" t="s">
        <v>37</v>
      </c>
      <c r="C115" s="3"/>
      <c r="D115" s="3"/>
      <c r="E115" s="3"/>
      <c r="F115" s="3"/>
      <c r="G115" s="3"/>
      <c r="H115" s="60"/>
      <c r="I115" s="60"/>
      <c r="J115" s="125"/>
      <c r="K115" s="60"/>
      <c r="L115" s="60"/>
      <c r="M115" s="60"/>
      <c r="N115" s="60"/>
      <c r="O115" s="60"/>
    </row>
    <row r="116" spans="2:17" ht="12.95" customHeight="1" x14ac:dyDescent="0.2">
      <c r="B116" s="4" t="s">
        <v>19</v>
      </c>
      <c r="C116" s="4"/>
      <c r="D116" s="4"/>
      <c r="E116" s="4"/>
      <c r="F116" s="4"/>
      <c r="G116" s="4"/>
      <c r="H116" s="121">
        <f t="shared" ref="H116:J116" si="4">+H108</f>
        <v>134.99999999999997</v>
      </c>
      <c r="I116" s="121">
        <f t="shared" si="4"/>
        <v>144.44999999999999</v>
      </c>
      <c r="J116" s="126">
        <f t="shared" si="4"/>
        <v>154.56149999999991</v>
      </c>
      <c r="K116" s="222"/>
      <c r="L116" s="222"/>
      <c r="M116" s="222"/>
      <c r="N116" s="222"/>
      <c r="O116" s="222"/>
    </row>
    <row r="117" spans="2:17" ht="12.95" customHeight="1" x14ac:dyDescent="0.2">
      <c r="B117" s="3" t="s">
        <v>34</v>
      </c>
      <c r="C117" s="3"/>
      <c r="D117" s="3"/>
      <c r="E117" s="3"/>
      <c r="F117" s="3"/>
      <c r="G117" s="3"/>
      <c r="H117" s="120">
        <v>31.500000000000004</v>
      </c>
      <c r="I117" s="120">
        <v>34.668000000000006</v>
      </c>
      <c r="J117" s="127">
        <v>38.125170000000011</v>
      </c>
      <c r="K117" s="62"/>
      <c r="L117" s="62"/>
      <c r="M117" s="62"/>
      <c r="N117" s="62"/>
      <c r="O117" s="62"/>
    </row>
    <row r="118" spans="2:17" ht="12.95" customHeight="1" x14ac:dyDescent="0.2">
      <c r="B118" s="4" t="s">
        <v>35</v>
      </c>
      <c r="C118" s="4"/>
      <c r="D118" s="4"/>
      <c r="E118" s="4"/>
      <c r="F118" s="4"/>
      <c r="G118" s="4"/>
      <c r="H118" s="121">
        <f t="shared" ref="H118:J118" si="5">SUM(H116:H117)</f>
        <v>166.49999999999997</v>
      </c>
      <c r="I118" s="121">
        <f t="shared" si="5"/>
        <v>179.11799999999999</v>
      </c>
      <c r="J118" s="126">
        <f t="shared" si="5"/>
        <v>192.68666999999994</v>
      </c>
      <c r="K118" s="222"/>
      <c r="L118" s="222"/>
      <c r="M118" s="222"/>
      <c r="N118" s="222"/>
      <c r="O118" s="222"/>
    </row>
    <row r="119" spans="2:17"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7" s="76" customFormat="1" ht="12.95" customHeight="1" x14ac:dyDescent="0.2">
      <c r="B120" s="20" t="s">
        <v>36</v>
      </c>
      <c r="C120" s="21"/>
      <c r="D120" s="21"/>
      <c r="E120" s="21"/>
      <c r="F120" s="21"/>
      <c r="G120" s="21"/>
      <c r="H120" s="122">
        <f t="shared" ref="H120:J120" si="6">+SUM(H118:H119)</f>
        <v>173.49999999999997</v>
      </c>
      <c r="I120" s="122">
        <f t="shared" si="6"/>
        <v>184.11799999999999</v>
      </c>
      <c r="J120" s="128">
        <f t="shared" si="6"/>
        <v>194.68666999999994</v>
      </c>
      <c r="K120" s="96"/>
      <c r="L120" s="96"/>
      <c r="M120" s="96"/>
      <c r="N120" s="96"/>
      <c r="O120" s="97"/>
      <c r="Q120" s="1"/>
    </row>
    <row r="121" spans="2:17" ht="12.95" customHeight="1" x14ac:dyDescent="0.2">
      <c r="B121" s="4"/>
      <c r="C121" s="4"/>
      <c r="D121" s="4"/>
      <c r="E121" s="4"/>
      <c r="F121" s="4"/>
      <c r="G121" s="4"/>
      <c r="H121" s="123"/>
      <c r="I121" s="123"/>
      <c r="J121" s="124"/>
      <c r="K121" s="243"/>
      <c r="L121" s="243"/>
      <c r="M121" s="243"/>
      <c r="N121" s="243"/>
      <c r="O121" s="243"/>
    </row>
    <row r="122" spans="2:17" ht="12.95" customHeight="1" x14ac:dyDescent="0.2">
      <c r="B122" s="129" t="s">
        <v>114</v>
      </c>
      <c r="C122" s="4"/>
      <c r="D122" s="4"/>
      <c r="E122" s="4"/>
      <c r="F122" s="4"/>
      <c r="G122" s="4"/>
      <c r="H122" s="60"/>
      <c r="I122" s="60"/>
      <c r="J122" s="125"/>
      <c r="K122" s="60"/>
      <c r="L122" s="60"/>
      <c r="M122" s="60"/>
      <c r="N122" s="60"/>
      <c r="O122" s="60"/>
    </row>
    <row r="123" spans="2:17" ht="12.95" customHeight="1" x14ac:dyDescent="0.2">
      <c r="B123" s="4" t="s">
        <v>71</v>
      </c>
      <c r="C123" s="4"/>
      <c r="D123" s="4"/>
      <c r="E123" s="4"/>
      <c r="F123" s="4"/>
      <c r="G123" s="4"/>
      <c r="H123" s="227">
        <v>36</v>
      </c>
      <c r="I123" s="227">
        <v>39.0015</v>
      </c>
      <c r="J123" s="228">
        <v>42.246810000000004</v>
      </c>
      <c r="K123" s="130"/>
      <c r="L123" s="130"/>
      <c r="M123" s="130"/>
      <c r="N123" s="130"/>
      <c r="O123" s="130"/>
    </row>
    <row r="124" spans="2:17" ht="12.95" customHeight="1" x14ac:dyDescent="0.2">
      <c r="B124" s="4"/>
      <c r="C124" s="4"/>
      <c r="D124" s="4"/>
      <c r="E124" s="4"/>
      <c r="F124" s="4"/>
      <c r="G124" s="4"/>
      <c r="H124" s="4"/>
      <c r="I124" s="4"/>
      <c r="J124" s="131"/>
      <c r="K124" s="4"/>
      <c r="L124" s="4"/>
      <c r="M124" s="4"/>
      <c r="N124" s="4"/>
      <c r="O124" s="4"/>
    </row>
    <row r="125" spans="2:17" ht="12.95" customHeight="1" x14ac:dyDescent="0.2">
      <c r="B125" s="132" t="s">
        <v>27</v>
      </c>
      <c r="C125" s="3"/>
      <c r="D125" s="3"/>
      <c r="E125" s="3"/>
      <c r="F125" s="3"/>
      <c r="G125" s="3"/>
      <c r="H125" s="3"/>
      <c r="I125" s="3"/>
      <c r="J125" s="133"/>
      <c r="K125" s="3"/>
      <c r="L125" s="3"/>
      <c r="M125" s="3"/>
      <c r="N125" s="3"/>
      <c r="O125" s="3"/>
    </row>
    <row r="126" spans="2:17"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7"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7">+K127+0.002</f>
        <v>0.43599999999999994</v>
      </c>
      <c r="M127" s="134">
        <f t="shared" si="7"/>
        <v>0.43799999999999994</v>
      </c>
      <c r="N127" s="134">
        <f t="shared" si="7"/>
        <v>0.43999999999999995</v>
      </c>
      <c r="O127" s="134">
        <f t="shared" si="7"/>
        <v>0.44199999999999995</v>
      </c>
    </row>
    <row r="128" spans="2:17"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8">+K128-0.0015</f>
        <v>0.27900000000000003</v>
      </c>
      <c r="M128" s="134">
        <f t="shared" si="8"/>
        <v>0.27750000000000002</v>
      </c>
      <c r="N128" s="134">
        <f t="shared" si="8"/>
        <v>0.27600000000000002</v>
      </c>
      <c r="O128" s="134">
        <f t="shared" si="8"/>
        <v>0.27450000000000002</v>
      </c>
    </row>
    <row r="129" spans="1:24" s="4" customFormat="1" ht="12.95" customHeight="1" x14ac:dyDescent="0.2">
      <c r="B129" s="4" t="s">
        <v>30</v>
      </c>
      <c r="H129" s="135">
        <f t="shared" ref="H129:O129" si="9">+H120/H104</f>
        <v>0.19277777777777774</v>
      </c>
      <c r="I129" s="135">
        <f t="shared" si="9"/>
        <v>0.19119210799584632</v>
      </c>
      <c r="J129" s="136">
        <f t="shared" si="9"/>
        <v>0.18894097495171816</v>
      </c>
      <c r="K129" s="135" t="e">
        <f t="shared" si="9"/>
        <v>#DIV/0!</v>
      </c>
      <c r="L129" s="135" t="e">
        <f t="shared" si="9"/>
        <v>#DIV/0!</v>
      </c>
      <c r="M129" s="135" t="e">
        <f t="shared" si="9"/>
        <v>#DIV/0!</v>
      </c>
      <c r="N129" s="135" t="e">
        <f t="shared" si="9"/>
        <v>#DIV/0!</v>
      </c>
      <c r="O129" s="135" t="e">
        <f t="shared" si="9"/>
        <v>#DIV/0!</v>
      </c>
    </row>
    <row r="130" spans="1:24" s="4" customFormat="1" ht="12.95" customHeight="1" x14ac:dyDescent="0.2">
      <c r="B130" s="4" t="s">
        <v>32</v>
      </c>
      <c r="H130" s="33"/>
      <c r="I130" s="135">
        <f t="shared" ref="I130:O130" si="10">+I120/H120-1</f>
        <v>6.1198847262248002E-2</v>
      </c>
      <c r="J130" s="136">
        <f t="shared" si="10"/>
        <v>5.7401612009689185E-2</v>
      </c>
      <c r="K130" s="135">
        <f t="shared" si="10"/>
        <v>-1</v>
      </c>
      <c r="L130" s="135" t="e">
        <f t="shared" si="10"/>
        <v>#DIV/0!</v>
      </c>
      <c r="M130" s="135" t="e">
        <f t="shared" si="10"/>
        <v>#DIV/0!</v>
      </c>
      <c r="N130" s="135" t="e">
        <f t="shared" si="10"/>
        <v>#DIV/0!</v>
      </c>
      <c r="O130" s="135" t="e">
        <f t="shared" si="10"/>
        <v>#DIV/0!</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c r="K139" s="221"/>
      <c r="L139" s="221"/>
      <c r="M139" s="221"/>
      <c r="N139" s="221"/>
      <c r="O139" s="221"/>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c r="K140" s="62"/>
      <c r="L140" s="62"/>
      <c r="M140" s="62"/>
      <c r="N140" s="62"/>
      <c r="O140" s="62"/>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c r="K141" s="35"/>
      <c r="L141" s="35"/>
      <c r="M141" s="35"/>
      <c r="N141" s="35"/>
      <c r="O141" s="35"/>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c r="K142" s="66"/>
      <c r="L142" s="66"/>
      <c r="M142" s="66"/>
      <c r="N142" s="66"/>
      <c r="O142" s="66"/>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c r="K143" s="238"/>
      <c r="L143" s="238"/>
      <c r="M143" s="238"/>
      <c r="N143" s="238"/>
      <c r="O143" s="238"/>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c r="K145" s="35"/>
      <c r="L145" s="35"/>
      <c r="M145" s="35"/>
      <c r="N145" s="35"/>
      <c r="O145" s="35"/>
      <c r="Q145" s="174"/>
      <c r="R145" s="174"/>
      <c r="S145" s="174"/>
      <c r="T145" s="174"/>
      <c r="U145" s="174"/>
      <c r="V145" s="174"/>
      <c r="W145" s="174"/>
      <c r="X145" s="174"/>
    </row>
    <row r="146" spans="2:24" s="4" customFormat="1" ht="12.95" customHeight="1" x14ac:dyDescent="0.2">
      <c r="B146" s="4" t="s">
        <v>45</v>
      </c>
      <c r="E146" s="159">
        <v>0</v>
      </c>
      <c r="F146" s="159">
        <v>0</v>
      </c>
      <c r="G146" s="160">
        <v>0</v>
      </c>
      <c r="H146" s="35"/>
      <c r="J146" s="149"/>
      <c r="K146" s="35"/>
      <c r="L146" s="35"/>
      <c r="M146" s="35"/>
      <c r="N146" s="35"/>
      <c r="O146" s="35"/>
      <c r="Q146" s="174"/>
      <c r="R146" s="174"/>
      <c r="S146" s="174"/>
      <c r="T146" s="174"/>
      <c r="U146" s="174"/>
      <c r="V146" s="174"/>
      <c r="W146" s="174"/>
      <c r="X146" s="174"/>
    </row>
    <row r="147" spans="2:24" s="4" customFormat="1" ht="12.95" customHeight="1" x14ac:dyDescent="0.2">
      <c r="B147" s="4" t="s">
        <v>145</v>
      </c>
      <c r="E147" s="159">
        <v>0</v>
      </c>
      <c r="F147" s="159">
        <v>0</v>
      </c>
      <c r="G147" s="160">
        <v>0</v>
      </c>
      <c r="H147" s="35"/>
      <c r="J147" s="149"/>
      <c r="K147" s="35"/>
      <c r="L147" s="35"/>
      <c r="M147" s="35"/>
      <c r="N147" s="35"/>
      <c r="O147" s="35"/>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c r="K148" s="35"/>
      <c r="L148" s="35"/>
      <c r="M148" s="35"/>
      <c r="N148" s="35"/>
      <c r="O148" s="35"/>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c r="K149" s="240"/>
      <c r="L149" s="240"/>
      <c r="M149" s="240"/>
      <c r="N149" s="240"/>
      <c r="O149" s="241"/>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c r="K151" s="35"/>
      <c r="L151" s="35"/>
      <c r="M151" s="35"/>
      <c r="N151" s="35"/>
      <c r="O151" s="35"/>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c r="K152" s="35"/>
      <c r="L152" s="35"/>
      <c r="M152" s="35"/>
      <c r="N152" s="35"/>
      <c r="O152" s="35"/>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c r="K153" s="66"/>
      <c r="L153" s="66"/>
      <c r="M153" s="66"/>
      <c r="N153" s="66"/>
      <c r="O153" s="66"/>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c r="K154" s="242"/>
      <c r="L154" s="238"/>
      <c r="M154" s="238"/>
      <c r="N154" s="238"/>
      <c r="O154" s="238"/>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c r="K156" s="35"/>
      <c r="L156" s="35"/>
      <c r="M156" s="35"/>
      <c r="N156" s="35"/>
      <c r="O156" s="35"/>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c r="J159" s="149"/>
      <c r="K159" s="35"/>
      <c r="L159" s="35"/>
      <c r="M159" s="35"/>
      <c r="N159" s="35"/>
      <c r="O159" s="35"/>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c r="J160" s="149"/>
      <c r="K160" s="35"/>
      <c r="L160" s="35"/>
      <c r="M160" s="35"/>
      <c r="N160" s="35"/>
      <c r="O160" s="35"/>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c r="J161" s="149"/>
      <c r="K161" s="35"/>
      <c r="L161" s="35"/>
      <c r="M161" s="35"/>
      <c r="N161" s="35"/>
      <c r="O161" s="35"/>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c r="I162" s="3"/>
      <c r="J162" s="152"/>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c r="K163" s="238">
        <f t="shared" ref="K163:O163" si="11">+SUM(K158:K162)</f>
        <v>0</v>
      </c>
      <c r="L163" s="238">
        <f t="shared" si="11"/>
        <v>0</v>
      </c>
      <c r="M163" s="238">
        <f t="shared" si="11"/>
        <v>0</v>
      </c>
      <c r="N163" s="238">
        <f t="shared" si="11"/>
        <v>0</v>
      </c>
      <c r="O163" s="238">
        <f t="shared" si="11"/>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c r="I165" s="35"/>
      <c r="J165" s="149"/>
      <c r="K165" s="35"/>
      <c r="L165" s="35"/>
      <c r="M165" s="35"/>
      <c r="N165" s="35"/>
      <c r="O165" s="35"/>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c r="K166" s="22"/>
      <c r="L166" s="22"/>
      <c r="M166" s="22"/>
      <c r="N166" s="22"/>
      <c r="O166" s="23"/>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c r="F168" s="175"/>
      <c r="G168" s="176"/>
      <c r="H168" s="112"/>
      <c r="J168" s="177"/>
      <c r="K168" s="175"/>
      <c r="L168" s="175"/>
      <c r="M168" s="175"/>
      <c r="N168" s="175"/>
      <c r="O168" s="175"/>
      <c r="Q168" s="174"/>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c r="F171" s="35"/>
      <c r="G171" s="236"/>
      <c r="H171" s="145"/>
      <c r="I171" s="181"/>
      <c r="J171" s="180"/>
      <c r="K171" s="35"/>
      <c r="L171" s="35"/>
      <c r="M171" s="35"/>
      <c r="N171" s="35"/>
      <c r="O171" s="35"/>
    </row>
    <row r="172" spans="2:24" s="4" customFormat="1" ht="12.95" customHeight="1" outlineLevel="1" x14ac:dyDescent="0.2">
      <c r="B172" s="4" t="str">
        <f>+B105</f>
        <v>Cost of Goods Sold (Cost of Sales)</v>
      </c>
      <c r="E172" s="35"/>
      <c r="F172" s="35"/>
      <c r="G172" s="236"/>
      <c r="H172" s="112"/>
      <c r="I172" s="131"/>
      <c r="J172" s="180"/>
      <c r="K172" s="35"/>
      <c r="L172" s="35"/>
      <c r="M172" s="35"/>
      <c r="N172" s="35"/>
      <c r="O172" s="35"/>
    </row>
    <row r="173" spans="2:24" s="4" customFormat="1" ht="12.95" customHeight="1" outlineLevel="1" x14ac:dyDescent="0.2">
      <c r="B173" s="3" t="str">
        <f>+B107</f>
        <v>SG&amp;A</v>
      </c>
      <c r="C173" s="3"/>
      <c r="D173" s="3"/>
      <c r="E173" s="66"/>
      <c r="F173" s="66"/>
      <c r="G173" s="237"/>
      <c r="H173" s="115"/>
      <c r="I173" s="133"/>
      <c r="J173" s="182"/>
      <c r="K173" s="66"/>
      <c r="L173" s="66"/>
      <c r="M173" s="66"/>
      <c r="N173" s="66"/>
      <c r="O173" s="66"/>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t="e">
        <f>+(E140/E171)*365</f>
        <v>#DIV/0!</v>
      </c>
      <c r="F176" s="185" t="e">
        <f>+(F140/F171)*365</f>
        <v>#DIV/0!</v>
      </c>
      <c r="G176" s="186" t="e">
        <f>+(G140/G171)*365</f>
        <v>#DIV/0!</v>
      </c>
      <c r="H176" s="112"/>
      <c r="I176" s="131"/>
      <c r="J176" s="187"/>
      <c r="K176" s="188">
        <v>30</v>
      </c>
      <c r="L176" s="189">
        <v>30</v>
      </c>
      <c r="M176" s="189">
        <v>30</v>
      </c>
      <c r="N176" s="189">
        <v>30</v>
      </c>
      <c r="O176" s="189">
        <v>30</v>
      </c>
    </row>
    <row r="177" spans="1:15" s="4" customFormat="1" ht="12.95" customHeight="1" x14ac:dyDescent="0.2">
      <c r="B177" s="4" t="s">
        <v>54</v>
      </c>
      <c r="E177" s="190">
        <f>+E172/E141</f>
        <v>0</v>
      </c>
      <c r="F177" s="190">
        <f>+F172/F141</f>
        <v>0</v>
      </c>
      <c r="G177" s="191">
        <f>+G172/G141</f>
        <v>0</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t="e">
        <f>+E142/E171</f>
        <v>#DIV/0!</v>
      </c>
      <c r="F178" s="193" t="e">
        <f>+F142/F171</f>
        <v>#DIV/0!</v>
      </c>
      <c r="G178" s="194" t="e">
        <f>+G142/G171</f>
        <v>#DIV/0!</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t="e">
        <f>+(E151/E172)*365</f>
        <v>#DIV/0!</v>
      </c>
      <c r="F181" s="185" t="e">
        <f>+(F151/F172)*365</f>
        <v>#DIV/0!</v>
      </c>
      <c r="G181" s="198" t="e">
        <f>+(G151/G172)*365</f>
        <v>#DIV/0!</v>
      </c>
      <c r="H181" s="112"/>
      <c r="J181" s="199"/>
      <c r="K181" s="189">
        <v>30</v>
      </c>
      <c r="L181" s="189">
        <v>30</v>
      </c>
      <c r="M181" s="189">
        <v>30</v>
      </c>
      <c r="N181" s="189">
        <v>30</v>
      </c>
      <c r="O181" s="189">
        <v>30</v>
      </c>
    </row>
    <row r="182" spans="1:15" s="4" customFormat="1" ht="12.95" customHeight="1" x14ac:dyDescent="0.2">
      <c r="B182" s="4" t="s">
        <v>211</v>
      </c>
      <c r="E182" s="193" t="e">
        <f>+E152/SUM(E172:E173)</f>
        <v>#DIV/0!</v>
      </c>
      <c r="F182" s="193" t="e">
        <f>+F152/SUM(F172:F173)</f>
        <v>#DIV/0!</v>
      </c>
      <c r="G182" s="194" t="e">
        <f>+G152/SUM(G172:G173)</f>
        <v>#DIV/0!</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t="e">
        <f>+E153/E171</f>
        <v>#DIV/0!</v>
      </c>
      <c r="F183" s="193" t="e">
        <f>+F153/F171</f>
        <v>#DIV/0!</v>
      </c>
      <c r="G183" s="194" t="e">
        <f>+G153/G171</f>
        <v>#DIV/0!</v>
      </c>
      <c r="H183" s="112"/>
      <c r="J183" s="195"/>
      <c r="K183" s="134">
        <v>0.05</v>
      </c>
      <c r="L183" s="134">
        <v>0.05</v>
      </c>
      <c r="M183" s="134">
        <v>0.05</v>
      </c>
      <c r="N183" s="134">
        <v>0.05</v>
      </c>
      <c r="O183" s="134">
        <v>0.05</v>
      </c>
    </row>
    <row r="184" spans="1:15" s="4" customFormat="1" ht="12.95" customHeight="1" x14ac:dyDescent="0.2">
      <c r="B184" s="4" t="s">
        <v>120</v>
      </c>
      <c r="E184" s="193" t="e">
        <f>+E156/E171</f>
        <v>#DIV/0!</v>
      </c>
      <c r="F184" s="193" t="e">
        <f>+F156/F171</f>
        <v>#DIV/0!</v>
      </c>
      <c r="G184" s="194" t="e">
        <f>+G156/G171</f>
        <v>#DIV/0!</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0</v>
      </c>
      <c r="L186" s="200">
        <f>+(L143-L139)-L154</f>
        <v>0</v>
      </c>
      <c r="M186" s="200">
        <f>+(M143-M139)-M154</f>
        <v>0</v>
      </c>
      <c r="N186" s="200">
        <f>+(N143-N139)-N154</f>
        <v>0</v>
      </c>
      <c r="O186" s="200">
        <f>+(O143-O139)-O154</f>
        <v>0</v>
      </c>
    </row>
    <row r="187" spans="1:15" s="4" customFormat="1" ht="12.95" customHeight="1" x14ac:dyDescent="0.2">
      <c r="B187" s="3" t="s">
        <v>195</v>
      </c>
      <c r="C187" s="3"/>
      <c r="D187" s="3"/>
      <c r="E187" s="203" t="e">
        <f>+E186/E171</f>
        <v>#DIV/0!</v>
      </c>
      <c r="F187" s="203" t="e">
        <f>+F186/F171</f>
        <v>#DIV/0!</v>
      </c>
      <c r="G187" s="204" t="e">
        <f>+G186/G171</f>
        <v>#DIV/0!</v>
      </c>
      <c r="H187" s="115"/>
      <c r="I187" s="3"/>
      <c r="J187" s="205"/>
      <c r="K187" s="203" t="e">
        <f>+K186/K171</f>
        <v>#DIV/0!</v>
      </c>
      <c r="L187" s="203" t="e">
        <f>+L186/L171</f>
        <v>#DIV/0!</v>
      </c>
      <c r="M187" s="203" t="e">
        <f>+M186/M171</f>
        <v>#DIV/0!</v>
      </c>
      <c r="N187" s="203" t="e">
        <f>+N186/N171</f>
        <v>#DIV/0!</v>
      </c>
      <c r="O187" s="203"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8"/>
      <c r="I193" s="108"/>
      <c r="J193" s="108"/>
      <c r="K193" s="15"/>
      <c r="L193" s="15"/>
      <c r="M193" s="15"/>
      <c r="N193" s="15"/>
      <c r="O193" s="15"/>
    </row>
    <row r="194" spans="2:17" ht="12.95" customHeight="1" x14ac:dyDescent="0.2">
      <c r="B194" s="1" t="s">
        <v>67</v>
      </c>
      <c r="H194" s="38"/>
      <c r="I194" s="38"/>
      <c r="J194" s="38"/>
      <c r="K194" s="16"/>
      <c r="L194" s="16"/>
      <c r="M194" s="16"/>
      <c r="N194" s="16"/>
      <c r="O194" s="16"/>
    </row>
    <row r="195" spans="2:17" ht="12.95" customHeight="1" x14ac:dyDescent="0.2">
      <c r="B195" s="1" t="s">
        <v>145</v>
      </c>
      <c r="H195" s="38"/>
      <c r="I195" s="38"/>
      <c r="J195" s="38"/>
      <c r="K195" s="16"/>
      <c r="L195" s="16"/>
      <c r="M195" s="16"/>
      <c r="N195" s="16"/>
      <c r="O195" s="16"/>
    </row>
    <row r="196" spans="2:17" ht="12.95" customHeight="1" x14ac:dyDescent="0.2">
      <c r="B196" s="1" t="s">
        <v>150</v>
      </c>
      <c r="H196" s="38"/>
      <c r="I196" s="38"/>
      <c r="J196" s="38"/>
      <c r="K196" s="62"/>
      <c r="L196" s="62"/>
      <c r="M196" s="62"/>
      <c r="N196" s="62"/>
      <c r="O196" s="62"/>
    </row>
    <row r="198" spans="2:17" ht="12.95" customHeight="1" x14ac:dyDescent="0.2">
      <c r="B198" s="24" t="s">
        <v>85</v>
      </c>
    </row>
    <row r="199" spans="2:17" ht="12.95" customHeight="1" x14ac:dyDescent="0.2">
      <c r="B199" s="1" t="str">
        <f>+"(Increase) / Decrease in "&amp;B140</f>
        <v>(Increase) / Decrease in Accounts Receivable</v>
      </c>
      <c r="H199" s="38"/>
      <c r="I199" s="38"/>
      <c r="J199" s="38"/>
      <c r="K199" s="16"/>
      <c r="L199" s="16"/>
      <c r="M199" s="16"/>
      <c r="N199" s="16"/>
      <c r="O199" s="16"/>
    </row>
    <row r="200" spans="2:17" ht="12.95" customHeight="1" x14ac:dyDescent="0.2">
      <c r="B200" s="1" t="str">
        <f>+"(Increase) / Decrease in "&amp;B141</f>
        <v>(Increase) / Decrease in Inventories</v>
      </c>
      <c r="H200" s="38"/>
      <c r="I200" s="38"/>
      <c r="J200" s="38"/>
      <c r="K200" s="16"/>
      <c r="L200" s="16"/>
      <c r="M200" s="16"/>
      <c r="N200" s="16"/>
      <c r="O200" s="16"/>
    </row>
    <row r="201" spans="2:17" ht="12.95" customHeight="1" x14ac:dyDescent="0.2">
      <c r="B201" s="1" t="str">
        <f>+"(Increase) / Decrease in "&amp;B142</f>
        <v>(Increase) / Decrease in Prepaid Expenses</v>
      </c>
      <c r="H201" s="38"/>
      <c r="I201" s="38"/>
      <c r="J201" s="38"/>
      <c r="K201" s="16"/>
      <c r="L201" s="16"/>
      <c r="M201" s="16"/>
      <c r="N201" s="16"/>
      <c r="O201" s="16"/>
    </row>
    <row r="202" spans="2:17" ht="12.95" customHeight="1" x14ac:dyDescent="0.2">
      <c r="B202" s="1" t="str">
        <f>+"(Increase) / Decrease in "&amp;B148</f>
        <v>(Increase) / Decrease in Other Long-Term (Operating) Assets</v>
      </c>
      <c r="H202" s="38"/>
      <c r="I202" s="38"/>
      <c r="J202" s="38"/>
      <c r="K202" s="16"/>
      <c r="L202" s="16"/>
      <c r="M202" s="16"/>
      <c r="N202" s="16"/>
      <c r="O202" s="16"/>
    </row>
    <row r="203" spans="2:17" ht="12.95" customHeight="1" x14ac:dyDescent="0.2">
      <c r="B203" s="1" t="str">
        <f>+"Increase / (Decrease) in "&amp;B151</f>
        <v>Increase / (Decrease) in Accounts Payable</v>
      </c>
      <c r="H203" s="38"/>
      <c r="I203" s="38"/>
      <c r="J203" s="38"/>
      <c r="K203" s="16"/>
      <c r="L203" s="16"/>
      <c r="M203" s="16"/>
      <c r="N203" s="16"/>
      <c r="O203" s="16"/>
    </row>
    <row r="204" spans="2:17" ht="12.95" customHeight="1" x14ac:dyDescent="0.2">
      <c r="B204" s="1" t="str">
        <f>+"Increase / (Decrease) in "&amp;B152</f>
        <v>Increase / (Decrease) in Accrued Liabilities</v>
      </c>
      <c r="H204" s="38"/>
      <c r="I204" s="38"/>
      <c r="J204" s="38"/>
      <c r="K204" s="16"/>
      <c r="L204" s="16"/>
      <c r="M204" s="16"/>
      <c r="N204" s="16"/>
      <c r="O204" s="16"/>
    </row>
    <row r="205" spans="2:17" ht="12.95" customHeight="1" x14ac:dyDescent="0.2">
      <c r="B205" s="1" t="str">
        <f>+"Increase / (Decrease) in "&amp;B153</f>
        <v>Increase / (Decrease) in Deferred Revenue</v>
      </c>
      <c r="H205" s="38"/>
      <c r="I205" s="38"/>
      <c r="J205" s="38"/>
      <c r="K205" s="16"/>
      <c r="L205" s="16"/>
      <c r="M205" s="16"/>
      <c r="N205" s="16"/>
      <c r="O205" s="16"/>
    </row>
    <row r="206" spans="2:17" s="4" customFormat="1" ht="12.95" customHeight="1" x14ac:dyDescent="0.2">
      <c r="B206" s="3" t="str">
        <f>+"Increase / (Decrease) in "&amp;B156</f>
        <v>Increase / (Decrease) in Other Long-Term (Operating) Liabilities</v>
      </c>
      <c r="C206" s="3"/>
      <c r="D206" s="3"/>
      <c r="E206" s="3"/>
      <c r="F206" s="3"/>
      <c r="G206" s="3"/>
      <c r="H206" s="153"/>
      <c r="I206" s="153"/>
      <c r="J206" s="153"/>
      <c r="K206" s="66"/>
      <c r="L206" s="66"/>
      <c r="M206" s="66"/>
      <c r="N206" s="66"/>
      <c r="O206" s="66"/>
      <c r="Q206" s="1"/>
    </row>
    <row r="207" spans="2:17" s="4" customFormat="1" ht="12.95" customHeight="1" x14ac:dyDescent="0.2">
      <c r="B207" s="4" t="s">
        <v>68</v>
      </c>
      <c r="H207" s="200"/>
      <c r="I207" s="200"/>
      <c r="J207" s="200"/>
      <c r="K207" s="54"/>
      <c r="L207" s="54"/>
      <c r="M207" s="54"/>
      <c r="N207" s="54"/>
      <c r="O207" s="54"/>
      <c r="Q207" s="1"/>
    </row>
    <row r="208" spans="2:17" s="4" customFormat="1" ht="12.95" customHeight="1" x14ac:dyDescent="0.2"/>
    <row r="209" spans="1:17" s="4" customFormat="1" ht="12.95" customHeight="1" x14ac:dyDescent="0.2">
      <c r="B209" s="207" t="s">
        <v>69</v>
      </c>
      <c r="C209" s="208"/>
      <c r="D209" s="208"/>
      <c r="E209" s="208"/>
      <c r="F209" s="208"/>
      <c r="G209" s="208"/>
      <c r="H209" s="209"/>
      <c r="I209" s="209"/>
      <c r="J209" s="209"/>
      <c r="K209" s="22"/>
      <c r="L209" s="22"/>
      <c r="M209" s="22"/>
      <c r="N209" s="22"/>
      <c r="O209" s="23"/>
      <c r="Q209" s="1"/>
    </row>
    <row r="210" spans="1:17" s="4" customFormat="1" ht="12.95" customHeight="1" x14ac:dyDescent="0.2"/>
    <row r="211" spans="1:17" ht="12.95" customHeight="1" x14ac:dyDescent="0.2">
      <c r="B211" s="24" t="s">
        <v>70</v>
      </c>
    </row>
    <row r="212" spans="1:17" ht="12.95" customHeight="1" x14ac:dyDescent="0.2">
      <c r="B212" s="4" t="s">
        <v>71</v>
      </c>
      <c r="C212" s="4"/>
      <c r="D212" s="4"/>
      <c r="E212" s="4"/>
      <c r="F212" s="4"/>
      <c r="G212" s="4"/>
      <c r="H212" s="200"/>
      <c r="I212" s="200"/>
      <c r="J212" s="200"/>
      <c r="K212" s="54"/>
      <c r="L212" s="54"/>
      <c r="M212" s="54"/>
      <c r="N212" s="54"/>
      <c r="O212" s="54"/>
    </row>
    <row r="213" spans="1:17" s="76" customFormat="1" ht="12.95" customHeight="1" x14ac:dyDescent="0.2">
      <c r="B213" s="20" t="s">
        <v>72</v>
      </c>
      <c r="C213" s="21"/>
      <c r="D213" s="21"/>
      <c r="E213" s="21"/>
      <c r="F213" s="21"/>
      <c r="G213" s="21"/>
      <c r="H213" s="172"/>
      <c r="I213" s="172"/>
      <c r="J213" s="172"/>
      <c r="K213" s="22"/>
      <c r="L213" s="22"/>
      <c r="M213" s="22"/>
      <c r="N213" s="22"/>
      <c r="O213" s="23"/>
      <c r="Q213" s="1"/>
    </row>
    <row r="215" spans="1:17" ht="12.95" customHeight="1" x14ac:dyDescent="0.2">
      <c r="B215" s="24" t="s">
        <v>81</v>
      </c>
    </row>
    <row r="216" spans="1:17" ht="12.95" customHeight="1" x14ac:dyDescent="0.2">
      <c r="B216" s="1" t="s">
        <v>82</v>
      </c>
      <c r="H216" s="25"/>
      <c r="I216" s="25"/>
      <c r="J216" s="25"/>
      <c r="K216" s="16"/>
      <c r="L216" s="16"/>
      <c r="M216" s="16"/>
      <c r="N216" s="16"/>
      <c r="O216" s="16"/>
    </row>
    <row r="217" spans="1:17" ht="12.95" customHeight="1" x14ac:dyDescent="0.2">
      <c r="B217" s="3" t="s">
        <v>83</v>
      </c>
      <c r="C217" s="3"/>
      <c r="D217" s="3"/>
      <c r="E217" s="3"/>
      <c r="F217" s="3"/>
      <c r="G217" s="3"/>
      <c r="H217" s="27"/>
      <c r="I217" s="27"/>
      <c r="J217" s="27"/>
      <c r="K217" s="66"/>
      <c r="L217" s="66"/>
      <c r="M217" s="66"/>
      <c r="N217" s="66"/>
      <c r="O217" s="66"/>
    </row>
    <row r="218" spans="1:17" s="76" customFormat="1" ht="12.95" customHeight="1" x14ac:dyDescent="0.2">
      <c r="B218" s="69" t="s">
        <v>84</v>
      </c>
      <c r="C218" s="69"/>
      <c r="D218" s="69"/>
      <c r="E218" s="69"/>
      <c r="F218" s="69"/>
      <c r="G218" s="69"/>
      <c r="H218" s="210"/>
      <c r="I218" s="210"/>
      <c r="J218" s="210"/>
      <c r="K218" s="71"/>
      <c r="L218" s="71"/>
      <c r="M218" s="71"/>
      <c r="N218" s="71"/>
      <c r="O218" s="71"/>
      <c r="Q218" s="1"/>
    </row>
    <row r="220" spans="1:17" ht="12.95" customHeight="1" x14ac:dyDescent="0.2">
      <c r="B220" s="207" t="s">
        <v>87</v>
      </c>
      <c r="C220" s="208"/>
      <c r="D220" s="208"/>
      <c r="E220" s="208"/>
      <c r="F220" s="208"/>
      <c r="G220" s="208"/>
      <c r="H220" s="209"/>
      <c r="I220" s="209"/>
      <c r="J220" s="209"/>
      <c r="K220" s="22"/>
      <c r="L220" s="22"/>
      <c r="M220" s="22"/>
      <c r="N220" s="22"/>
      <c r="O220" s="2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206"/>
      <c r="M224" s="206"/>
      <c r="N224" s="206"/>
      <c r="O224" s="206"/>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11"/>
      <c r="L227" s="211"/>
      <c r="M227" s="211"/>
      <c r="N227" s="211"/>
      <c r="O227" s="211"/>
    </row>
    <row r="228" spans="2:17" s="76" customFormat="1" ht="12.95" customHeight="1" x14ac:dyDescent="0.2">
      <c r="B228" s="69" t="s">
        <v>74</v>
      </c>
      <c r="C228" s="69"/>
      <c r="D228" s="69"/>
      <c r="E228" s="69"/>
      <c r="F228" s="69"/>
      <c r="G228" s="69"/>
      <c r="H228" s="212"/>
      <c r="I228" s="212"/>
      <c r="J228" s="212"/>
      <c r="K228" s="71"/>
      <c r="L228" s="71"/>
      <c r="M228" s="71"/>
      <c r="N228" s="71"/>
      <c r="O228" s="71"/>
      <c r="Q228" s="1"/>
    </row>
    <row r="230" spans="2:17" ht="12.95" customHeight="1" x14ac:dyDescent="0.2">
      <c r="B230" s="24" t="s">
        <v>196</v>
      </c>
    </row>
    <row r="231" spans="2:17" ht="12.95" customHeight="1" x14ac:dyDescent="0.2">
      <c r="B231" s="1" t="s">
        <v>122</v>
      </c>
      <c r="K231" s="16"/>
      <c r="L231" s="16"/>
      <c r="M231" s="16"/>
      <c r="N231" s="16"/>
      <c r="O231" s="16"/>
    </row>
    <row r="232" spans="2:17" ht="12.95" customHeight="1" x14ac:dyDescent="0.2">
      <c r="B232" s="1" t="s">
        <v>123</v>
      </c>
      <c r="K232" s="16"/>
      <c r="L232" s="16"/>
      <c r="M232" s="16"/>
      <c r="N232" s="16"/>
      <c r="O232" s="16"/>
    </row>
    <row r="233" spans="2:17" s="76" customFormat="1" ht="12.95" customHeight="1" x14ac:dyDescent="0.2">
      <c r="B233" s="20" t="s">
        <v>75</v>
      </c>
      <c r="C233" s="21"/>
      <c r="D233" s="21"/>
      <c r="E233" s="21"/>
      <c r="F233" s="21"/>
      <c r="G233" s="21"/>
      <c r="H233" s="21"/>
      <c r="I233" s="21"/>
      <c r="J233" s="21"/>
      <c r="K233" s="22"/>
      <c r="L233" s="22"/>
      <c r="M233" s="22"/>
      <c r="N233" s="22"/>
      <c r="O233" s="23"/>
      <c r="Q233" s="1"/>
    </row>
    <row r="235" spans="2:17" ht="12.95" customHeight="1" x14ac:dyDescent="0.2">
      <c r="B235" s="1" t="s">
        <v>76</v>
      </c>
      <c r="H235" s="38"/>
      <c r="I235" s="38"/>
      <c r="J235" s="38"/>
      <c r="K235" s="16"/>
      <c r="L235" s="16"/>
      <c r="M235" s="16"/>
      <c r="N235" s="16"/>
      <c r="O235" s="16"/>
    </row>
    <row r="236" spans="2:17" ht="12.95" customHeight="1" x14ac:dyDescent="0.2">
      <c r="B236" s="4" t="s">
        <v>77</v>
      </c>
      <c r="C236" s="4"/>
      <c r="D236" s="4"/>
      <c r="E236" s="4"/>
      <c r="F236" s="4"/>
      <c r="G236" s="4"/>
      <c r="H236" s="150"/>
      <c r="I236" s="150"/>
      <c r="J236" s="150"/>
      <c r="K236" s="35"/>
      <c r="L236" s="35"/>
      <c r="M236" s="35"/>
      <c r="N236" s="35"/>
      <c r="O236" s="35"/>
    </row>
    <row r="237" spans="2:17" ht="12.95" customHeight="1" x14ac:dyDescent="0.2">
      <c r="B237" s="4" t="s">
        <v>78</v>
      </c>
      <c r="C237" s="4"/>
      <c r="D237" s="4"/>
      <c r="E237" s="4"/>
      <c r="F237" s="4"/>
      <c r="G237" s="4"/>
      <c r="H237" s="150"/>
      <c r="I237" s="150"/>
      <c r="J237" s="150"/>
      <c r="K237" s="35"/>
      <c r="L237" s="35"/>
      <c r="M237" s="35"/>
      <c r="N237" s="35"/>
      <c r="O237" s="35"/>
    </row>
    <row r="238" spans="2:17" s="76" customFormat="1" ht="12.95" customHeight="1" x14ac:dyDescent="0.2">
      <c r="B238" s="20" t="s">
        <v>86</v>
      </c>
      <c r="C238" s="21"/>
      <c r="D238" s="21"/>
      <c r="E238" s="21"/>
      <c r="F238" s="21"/>
      <c r="G238" s="21"/>
      <c r="H238" s="172"/>
      <c r="I238" s="172"/>
      <c r="J238" s="172"/>
      <c r="K238" s="22"/>
      <c r="L238" s="22"/>
      <c r="M238" s="22"/>
      <c r="N238" s="22"/>
      <c r="O238" s="23"/>
      <c r="Q238" s="1"/>
    </row>
    <row r="240" spans="2:17" s="76" customFormat="1" ht="12.95" customHeight="1" x14ac:dyDescent="0.2">
      <c r="B240" s="24" t="s">
        <v>79</v>
      </c>
    </row>
    <row r="241" spans="1:17" ht="12.95" customHeight="1" x14ac:dyDescent="0.2">
      <c r="B241" s="1" t="str">
        <f>+B159</f>
        <v>Revolving Credit Facility</v>
      </c>
      <c r="K241" s="16"/>
      <c r="L241" s="16"/>
      <c r="M241" s="16"/>
      <c r="N241" s="16"/>
      <c r="O241" s="16"/>
      <c r="Q241" s="174"/>
    </row>
    <row r="242" spans="1:17" ht="12.95" customHeight="1" x14ac:dyDescent="0.2">
      <c r="B242" s="1" t="str">
        <f>+B160</f>
        <v>First Lien Term Loan</v>
      </c>
      <c r="K242" s="16"/>
      <c r="L242" s="16"/>
      <c r="M242" s="16"/>
      <c r="N242" s="16"/>
      <c r="O242" s="16"/>
      <c r="Q242" s="4"/>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c r="L245" s="71"/>
      <c r="M245" s="71"/>
      <c r="N245" s="71"/>
      <c r="O245" s="71"/>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c r="L254" s="54"/>
      <c r="M254" s="54"/>
      <c r="N254" s="54"/>
      <c r="O254" s="54"/>
      <c r="Q254" s="174"/>
    </row>
    <row r="255" spans="1:17" ht="12.95" customHeight="1" x14ac:dyDescent="0.2">
      <c r="B255" s="3" t="s">
        <v>94</v>
      </c>
      <c r="C255" s="3"/>
      <c r="D255" s="3"/>
      <c r="E255" s="3"/>
      <c r="F255" s="3"/>
      <c r="G255" s="3"/>
      <c r="H255" s="3"/>
      <c r="I255" s="3"/>
      <c r="J255" s="3"/>
      <c r="K255" s="66"/>
      <c r="L255" s="66"/>
      <c r="M255" s="66"/>
      <c r="N255" s="66"/>
      <c r="O255" s="66"/>
      <c r="Q255" s="174"/>
    </row>
    <row r="256" spans="1:17" ht="12.95" customHeight="1" x14ac:dyDescent="0.2">
      <c r="B256" s="69" t="s">
        <v>192</v>
      </c>
      <c r="C256" s="69"/>
      <c r="D256" s="69"/>
      <c r="E256" s="69"/>
      <c r="F256" s="69"/>
      <c r="G256" s="69"/>
      <c r="H256" s="69"/>
      <c r="I256" s="69"/>
      <c r="J256" s="69"/>
      <c r="K256" s="71"/>
      <c r="L256" s="71"/>
      <c r="M256" s="71"/>
      <c r="N256" s="71"/>
      <c r="O256" s="71"/>
      <c r="Q256" s="174"/>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c r="K258" s="35"/>
      <c r="L258" s="35"/>
      <c r="M258" s="35"/>
      <c r="N258" s="35"/>
      <c r="O258" s="35"/>
      <c r="Q258" s="174"/>
    </row>
    <row r="259" spans="2:17" s="4" customFormat="1" ht="12.95" customHeight="1" x14ac:dyDescent="0.2">
      <c r="B259" s="4" t="s">
        <v>149</v>
      </c>
      <c r="G259" s="4" t="s">
        <v>96</v>
      </c>
      <c r="I259" s="217">
        <v>350</v>
      </c>
      <c r="K259" s="55"/>
      <c r="L259" s="55"/>
      <c r="M259" s="55"/>
      <c r="N259" s="55"/>
      <c r="O259" s="55"/>
      <c r="Q259" s="174"/>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74"/>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row>
    <row r="268" spans="2:17" s="4" customFormat="1" ht="12.95" customHeight="1" x14ac:dyDescent="0.2">
      <c r="B268" s="33" t="s">
        <v>92</v>
      </c>
      <c r="G268" s="4" t="s">
        <v>97</v>
      </c>
      <c r="I268" s="219">
        <v>0.02</v>
      </c>
      <c r="K268" s="35"/>
      <c r="L268" s="35"/>
      <c r="M268" s="35"/>
      <c r="N268" s="35"/>
      <c r="O268" s="35"/>
    </row>
    <row r="269" spans="2:17" ht="12.95" customHeight="1" x14ac:dyDescent="0.2">
      <c r="B269" s="3" t="s">
        <v>89</v>
      </c>
      <c r="C269" s="3"/>
      <c r="D269" s="3"/>
      <c r="E269" s="3"/>
      <c r="F269" s="3"/>
      <c r="G269" s="3"/>
      <c r="H269" s="3"/>
      <c r="I269" s="3"/>
      <c r="J269" s="3"/>
      <c r="K269" s="66"/>
      <c r="L269" s="66"/>
      <c r="M269" s="66"/>
      <c r="N269" s="66"/>
      <c r="O269" s="66"/>
      <c r="Q269" s="4"/>
    </row>
    <row r="270" spans="2:17" ht="12.95" customHeight="1" x14ac:dyDescent="0.2">
      <c r="B270" s="69" t="s">
        <v>192</v>
      </c>
      <c r="C270" s="69"/>
      <c r="D270" s="69"/>
      <c r="E270" s="69"/>
      <c r="F270" s="69"/>
      <c r="G270" s="69"/>
      <c r="H270" s="4"/>
      <c r="I270" s="69"/>
      <c r="J270" s="69"/>
      <c r="K270" s="71"/>
      <c r="L270" s="71"/>
      <c r="M270" s="71"/>
      <c r="N270" s="71"/>
      <c r="O270" s="71"/>
      <c r="Q270" s="4"/>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4"/>
    </row>
    <row r="273" spans="2:17" ht="12.95" customHeight="1" x14ac:dyDescent="0.2">
      <c r="B273" s="1" t="s">
        <v>149</v>
      </c>
      <c r="G273" s="4" t="s">
        <v>96</v>
      </c>
      <c r="I273" s="218">
        <v>350</v>
      </c>
      <c r="K273" s="55"/>
      <c r="L273" s="55"/>
      <c r="M273" s="55"/>
      <c r="N273" s="55"/>
      <c r="O273" s="55"/>
      <c r="Q273" s="4"/>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K322" s="13">
        <f>+K138</f>
        <v>2020</v>
      </c>
      <c r="L322" s="13">
        <f>+K322+1</f>
        <v>2021</v>
      </c>
      <c r="M322" s="13">
        <f>+L322+1</f>
        <v>2022</v>
      </c>
      <c r="N322" s="13">
        <f>+M322+1</f>
        <v>2023</v>
      </c>
      <c r="O322" s="13">
        <f>+N322+1</f>
        <v>2024</v>
      </c>
    </row>
    <row r="323" spans="2:18" ht="12.95" customHeight="1" x14ac:dyDescent="0.2">
      <c r="B323" s="1" t="s">
        <v>35</v>
      </c>
      <c r="K323" s="54"/>
      <c r="L323" s="54"/>
      <c r="M323" s="54"/>
      <c r="N323" s="54"/>
      <c r="O323" s="54"/>
    </row>
    <row r="324" spans="2:18" ht="12.95" customHeight="1" x14ac:dyDescent="0.2">
      <c r="B324" s="4" t="s">
        <v>200</v>
      </c>
      <c r="C324" s="4"/>
      <c r="D324" s="4"/>
      <c r="E324" s="4"/>
      <c r="F324" s="4"/>
      <c r="G324" s="4"/>
      <c r="H324" s="4"/>
      <c r="I324" s="4"/>
      <c r="J324" s="4"/>
      <c r="K324" s="253"/>
      <c r="L324" s="253"/>
      <c r="M324" s="253"/>
      <c r="N324" s="253"/>
      <c r="O324" s="253"/>
    </row>
    <row r="325" spans="2:18" ht="12.95" customHeight="1" x14ac:dyDescent="0.2">
      <c r="B325" s="226" t="s">
        <v>201</v>
      </c>
      <c r="C325" s="226"/>
      <c r="D325" s="226"/>
      <c r="E325" s="226"/>
      <c r="F325" s="226"/>
      <c r="G325" s="226"/>
      <c r="H325" s="226"/>
      <c r="I325" s="226"/>
      <c r="J325" s="226"/>
      <c r="K325" s="37"/>
      <c r="L325" s="37"/>
      <c r="M325" s="37"/>
      <c r="N325" s="37"/>
      <c r="O325" s="37"/>
    </row>
    <row r="326" spans="2:18" ht="12.95" customHeight="1" x14ac:dyDescent="0.2">
      <c r="B326" s="1" t="s">
        <v>202</v>
      </c>
      <c r="K326" s="16"/>
      <c r="L326" s="16"/>
      <c r="M326" s="16"/>
      <c r="N326" s="16"/>
      <c r="O326" s="16"/>
    </row>
    <row r="327" spans="2:18" ht="12.95" customHeight="1" x14ac:dyDescent="0.2">
      <c r="B327" s="4" t="s">
        <v>203</v>
      </c>
      <c r="C327" s="4"/>
      <c r="D327" s="4"/>
      <c r="E327" s="4"/>
      <c r="F327" s="4"/>
      <c r="G327" s="4"/>
      <c r="H327" s="4"/>
      <c r="I327" s="4"/>
      <c r="J327" s="4"/>
      <c r="K327" s="35"/>
      <c r="L327" s="35"/>
      <c r="M327" s="35"/>
      <c r="N327" s="35"/>
      <c r="O327" s="35"/>
    </row>
    <row r="328" spans="2:18" ht="12.95" customHeight="1" x14ac:dyDescent="0.2">
      <c r="B328" s="226" t="s">
        <v>204</v>
      </c>
      <c r="C328" s="226"/>
      <c r="D328" s="226"/>
      <c r="E328" s="226"/>
      <c r="F328" s="226"/>
      <c r="G328" s="226"/>
      <c r="H328" s="226"/>
      <c r="I328" s="226"/>
      <c r="J328" s="226"/>
      <c r="K328" s="37"/>
      <c r="L328" s="37"/>
      <c r="M328" s="37"/>
      <c r="N328" s="37"/>
      <c r="O328" s="37"/>
    </row>
    <row r="329" spans="2:18" ht="12.95" customHeight="1" x14ac:dyDescent="0.2">
      <c r="B329" s="3" t="s">
        <v>336</v>
      </c>
      <c r="C329" s="3"/>
      <c r="D329" s="3"/>
      <c r="E329" s="3"/>
      <c r="F329" s="3"/>
      <c r="G329" s="3"/>
      <c r="H329" s="3"/>
      <c r="I329" s="3"/>
      <c r="J329" s="3"/>
      <c r="K329" s="66"/>
      <c r="L329" s="66"/>
      <c r="M329" s="66"/>
      <c r="N329" s="66"/>
      <c r="O329" s="66"/>
    </row>
    <row r="330" spans="2:18" ht="12.95" customHeight="1" x14ac:dyDescent="0.2">
      <c r="B330" s="69" t="s">
        <v>207</v>
      </c>
      <c r="C330" s="69"/>
      <c r="D330" s="69"/>
      <c r="E330" s="69"/>
      <c r="F330" s="69"/>
      <c r="G330" s="69"/>
      <c r="H330" s="69"/>
      <c r="I330" s="69"/>
      <c r="J330" s="69"/>
      <c r="K330" s="71"/>
      <c r="L330" s="71"/>
      <c r="M330" s="71"/>
      <c r="N330" s="71"/>
      <c r="O330" s="71"/>
    </row>
    <row r="332" spans="2:18" ht="12.95" customHeight="1" x14ac:dyDescent="0.2">
      <c r="F332" s="1" t="s">
        <v>205</v>
      </c>
      <c r="J332" s="250"/>
      <c r="K332" s="15"/>
      <c r="L332" s="15"/>
      <c r="M332" s="15"/>
      <c r="N332" s="15"/>
      <c r="O332" s="15"/>
    </row>
    <row r="334" spans="2:18" ht="12.95" customHeight="1" x14ac:dyDescent="0.2">
      <c r="F334" s="1" t="s">
        <v>208</v>
      </c>
      <c r="K334" s="254"/>
      <c r="L334" s="254"/>
      <c r="M334" s="254"/>
      <c r="N334" s="254"/>
      <c r="O334" s="254"/>
    </row>
    <row r="335" spans="2:18" customFormat="1" ht="3" customHeight="1" x14ac:dyDescent="0.25">
      <c r="Q335" s="1"/>
      <c r="R335" s="1"/>
    </row>
    <row r="336" spans="2:18"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E01FA-1C95-4F8B-A6B0-C560AF26E864}">
  <dimension ref="A2:X345"/>
  <sheetViews>
    <sheetView showGridLines="0" zoomScale="85" zoomScaleNormal="85" zoomScaleSheetLayoutView="85" workbookViewId="0"/>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+K34</f>
        <v>Fiscal Year Ended 12/31</v>
      </c>
      <c r="L8" s="11"/>
      <c r="M8" s="11"/>
      <c r="N8" s="11"/>
      <c r="O8" s="11"/>
    </row>
    <row r="9" spans="1:15" ht="12.95" customHeight="1" x14ac:dyDescent="0.2">
      <c r="I9" s="12" t="s">
        <v>191</v>
      </c>
      <c r="K9" s="13">
        <f>+$K$106</f>
        <v>2020</v>
      </c>
      <c r="L9" s="13">
        <f>+$L$106</f>
        <v>2021</v>
      </c>
      <c r="M9" s="13">
        <f>+$M$106</f>
        <v>2022</v>
      </c>
      <c r="N9" s="13">
        <f>+$N$106</f>
        <v>2023</v>
      </c>
      <c r="O9" s="13">
        <f>+$O$106</f>
        <v>2024</v>
      </c>
    </row>
    <row r="10" spans="1:15" ht="12.95" customHeight="1" x14ac:dyDescent="0.2">
      <c r="B10" s="1" t="s">
        <v>187</v>
      </c>
      <c r="E10" s="14">
        <f ca="1">+SUM(E171:O171)</f>
        <v>0</v>
      </c>
      <c r="I10" s="1" t="s">
        <v>184</v>
      </c>
      <c r="K10" s="15">
        <f ca="1">+(K91-K82)-(J91-J82)</f>
        <v>-127.18045148789759</v>
      </c>
      <c r="L10" s="15">
        <f t="shared" ref="L10:O10" ca="1" si="0">+(L91-L82)-(K91-K82)</f>
        <v>-131.53014732706015</v>
      </c>
      <c r="M10" s="15">
        <f t="shared" ca="1" si="0"/>
        <v>-145.50321616836811</v>
      </c>
      <c r="N10" s="15">
        <f t="shared" ca="1" si="0"/>
        <v>-160.76290013339133</v>
      </c>
      <c r="O10" s="15">
        <f t="shared" ca="1" si="0"/>
        <v>-177.42067074761394</v>
      </c>
    </row>
    <row r="11" spans="1:15" ht="12.95" customHeight="1" x14ac:dyDescent="0.2">
      <c r="B11" s="1" t="s">
        <v>188</v>
      </c>
      <c r="E11" s="14">
        <f ca="1">+SUM(K267:O267)</f>
        <v>0</v>
      </c>
      <c r="I11" s="1" t="s">
        <v>109</v>
      </c>
      <c r="K11" s="16">
        <f ca="1">-K319</f>
        <v>0</v>
      </c>
      <c r="L11" s="16">
        <f t="shared" ref="L11:O11" ca="1" si="1">-L319</f>
        <v>0</v>
      </c>
      <c r="M11" s="16">
        <f t="shared" ca="1" si="1"/>
        <v>0</v>
      </c>
      <c r="N11" s="16">
        <f t="shared" ca="1" si="1"/>
        <v>0</v>
      </c>
      <c r="O11" s="16">
        <f t="shared" ca="1" si="1"/>
        <v>0</v>
      </c>
    </row>
    <row r="12" spans="1:15" ht="12.95" customHeight="1" x14ac:dyDescent="0.2">
      <c r="B12" s="1" t="s">
        <v>189</v>
      </c>
      <c r="E12" s="16">
        <f ca="1">+SUM(K13:O13)</f>
        <v>0</v>
      </c>
      <c r="I12" s="1" t="s">
        <v>185</v>
      </c>
      <c r="K12" s="16">
        <f ca="1">+K78</f>
        <v>127.18045148789757</v>
      </c>
      <c r="L12" s="16">
        <f t="shared" ref="L12:O12" ca="1" si="2">+L78</f>
        <v>131.53014732706018</v>
      </c>
      <c r="M12" s="16">
        <f t="shared" ca="1" si="2"/>
        <v>145.50321616836808</v>
      </c>
      <c r="N12" s="16">
        <f t="shared" ca="1" si="2"/>
        <v>160.76290013339141</v>
      </c>
      <c r="O12" s="16">
        <f t="shared" ca="1" si="2"/>
        <v>177.42067074761397</v>
      </c>
    </row>
    <row r="13" spans="1:15" ht="12.95" customHeight="1" x14ac:dyDescent="0.2">
      <c r="B13" s="17" t="s">
        <v>190</v>
      </c>
      <c r="C13" s="18"/>
      <c r="D13" s="18"/>
      <c r="E13" s="19">
        <f ca="1">SUM(E10:E12)</f>
        <v>0</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8"/>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C18" s="4"/>
      <c r="D18" s="4"/>
      <c r="E18" s="4"/>
      <c r="F18" s="4"/>
      <c r="G18" s="4"/>
      <c r="H18" s="4"/>
      <c r="I18" s="4"/>
      <c r="J18" s="4"/>
      <c r="K18" s="4"/>
      <c r="L18" s="4"/>
      <c r="M18" s="4"/>
      <c r="N18" s="4"/>
      <c r="O18" s="4"/>
    </row>
    <row r="19" spans="2:15" ht="12.95" customHeight="1" x14ac:dyDescent="0.2">
      <c r="B19" s="4" t="s">
        <v>298</v>
      </c>
      <c r="C19" s="4"/>
      <c r="D19" s="4"/>
      <c r="E19" s="290">
        <v>18.968666999999993</v>
      </c>
      <c r="F19" s="4"/>
      <c r="G19" s="4"/>
      <c r="H19" s="4"/>
      <c r="I19" s="4"/>
      <c r="J19" s="4"/>
      <c r="K19" s="4"/>
      <c r="L19" s="4"/>
      <c r="M19" s="4"/>
      <c r="N19" s="4"/>
      <c r="O19" s="4"/>
    </row>
    <row r="20" spans="2:15" ht="12.95" customHeight="1" x14ac:dyDescent="0.2">
      <c r="B20" s="4" t="s">
        <v>299</v>
      </c>
      <c r="C20" s="4"/>
      <c r="D20" s="4"/>
      <c r="E20" s="291">
        <v>100</v>
      </c>
      <c r="F20" s="25"/>
      <c r="G20" s="25"/>
      <c r="H20" s="44" t="s">
        <v>144</v>
      </c>
      <c r="I20" s="25"/>
      <c r="J20" s="25"/>
      <c r="K20" s="25"/>
      <c r="L20" s="25"/>
      <c r="M20" s="25"/>
    </row>
    <row r="21" spans="2:15" ht="12.95" customHeight="1" x14ac:dyDescent="0.2">
      <c r="B21" s="226" t="s">
        <v>302</v>
      </c>
      <c r="C21" s="226"/>
      <c r="D21" s="226"/>
      <c r="E21" s="295"/>
      <c r="F21" s="25"/>
      <c r="G21" s="25"/>
      <c r="H21" s="25" t="s">
        <v>200</v>
      </c>
      <c r="I21" s="25"/>
      <c r="J21" s="25"/>
      <c r="K21" s="25"/>
      <c r="L21" s="25"/>
      <c r="M21" s="251">
        <v>10</v>
      </c>
    </row>
    <row r="22" spans="2:15" ht="12.95" customHeight="1" x14ac:dyDescent="0.2">
      <c r="B22" s="4" t="s">
        <v>300</v>
      </c>
      <c r="C22" s="4"/>
      <c r="D22" s="4"/>
      <c r="E22" s="288"/>
      <c r="F22" s="25"/>
      <c r="G22" s="25"/>
      <c r="H22" s="44"/>
      <c r="I22" s="25"/>
      <c r="J22" s="25"/>
      <c r="K22" s="25"/>
      <c r="L22" s="25"/>
      <c r="M22" s="25"/>
    </row>
    <row r="23" spans="2:15" ht="12.95" customHeight="1" x14ac:dyDescent="0.2">
      <c r="B23" s="3" t="s">
        <v>301</v>
      </c>
      <c r="C23" s="3"/>
      <c r="D23" s="3"/>
      <c r="E23" s="296"/>
      <c r="F23" s="25"/>
      <c r="G23" s="25"/>
      <c r="H23" s="25" t="s">
        <v>129</v>
      </c>
      <c r="I23" s="25"/>
      <c r="J23" s="25"/>
      <c r="K23" s="25"/>
      <c r="L23" s="25"/>
      <c r="M23" s="45">
        <v>0.04</v>
      </c>
    </row>
    <row r="24" spans="2:15" ht="12.95" customHeight="1" x14ac:dyDescent="0.2">
      <c r="B24" s="69" t="s">
        <v>128</v>
      </c>
      <c r="C24" s="69"/>
      <c r="D24" s="69"/>
      <c r="E24" s="297"/>
      <c r="F24" s="25"/>
      <c r="G24" s="25"/>
      <c r="H24" s="25" t="s">
        <v>130</v>
      </c>
      <c r="I24" s="25"/>
      <c r="J24" s="25"/>
      <c r="K24" s="25"/>
      <c r="L24" s="25"/>
      <c r="M24" s="45">
        <v>0.02</v>
      </c>
    </row>
    <row r="25" spans="2:15" ht="12.95" customHeight="1" x14ac:dyDescent="0.2">
      <c r="B25" s="25" t="s">
        <v>127</v>
      </c>
      <c r="C25" s="25"/>
      <c r="D25" s="25"/>
      <c r="E25" s="298"/>
      <c r="F25" s="25"/>
      <c r="G25" s="25"/>
    </row>
    <row r="26" spans="2:15" ht="12.95" customHeight="1" x14ac:dyDescent="0.2">
      <c r="B26" s="33" t="s">
        <v>206</v>
      </c>
      <c r="C26" s="33"/>
      <c r="D26" s="33"/>
      <c r="E26" s="299"/>
      <c r="F26" s="25"/>
      <c r="G26" s="25"/>
      <c r="H26" s="1" t="s">
        <v>137</v>
      </c>
      <c r="M26" s="264">
        <f>+E25</f>
        <v>0</v>
      </c>
    </row>
    <row r="27" spans="2:15" ht="12.95" customHeight="1" x14ac:dyDescent="0.2">
      <c r="E27" s="109"/>
      <c r="F27" s="25"/>
      <c r="G27" s="25"/>
    </row>
    <row r="28" spans="2:15" ht="12.95" customHeight="1" x14ac:dyDescent="0.2">
      <c r="B28" s="24" t="s">
        <v>142</v>
      </c>
      <c r="H28" s="1" t="s">
        <v>138</v>
      </c>
      <c r="M28" s="245">
        <v>100</v>
      </c>
    </row>
    <row r="29" spans="2:15" ht="12.95" customHeight="1" x14ac:dyDescent="0.2">
      <c r="B29" s="1" t="s">
        <v>139</v>
      </c>
      <c r="E29" s="298"/>
    </row>
    <row r="30" spans="2:15" ht="12.95" customHeight="1" x14ac:dyDescent="0.2">
      <c r="B30" s="4" t="s">
        <v>140</v>
      </c>
      <c r="C30" s="4"/>
      <c r="D30" s="4"/>
      <c r="E30" s="35">
        <f>-G168</f>
        <v>-163.117577826229</v>
      </c>
      <c r="H30" s="1" t="s">
        <v>215</v>
      </c>
      <c r="M30" s="45">
        <v>0.1</v>
      </c>
    </row>
    <row r="31" spans="2:15" ht="12.95" customHeight="1" x14ac:dyDescent="0.2">
      <c r="B31" s="36" t="s">
        <v>141</v>
      </c>
      <c r="C31" s="36"/>
      <c r="D31" s="36"/>
      <c r="E31" s="37">
        <f>SUM(E29:E30)</f>
        <v>-163.117577826229</v>
      </c>
    </row>
    <row r="33" spans="1:19" ht="12.95" customHeight="1" x14ac:dyDescent="0.2">
      <c r="F33" s="24" t="s">
        <v>151</v>
      </c>
    </row>
    <row r="34" spans="1:19" ht="12.95" customHeight="1" x14ac:dyDescent="0.35">
      <c r="I34" s="26" t="s">
        <v>155</v>
      </c>
      <c r="K34" s="10" t="str">
        <f>+"Fiscal Year Ended "&amp;TEXT(E8,"MM/DD")</f>
        <v>Fiscal Year Ended 12/31</v>
      </c>
      <c r="L34" s="11"/>
      <c r="M34" s="11"/>
      <c r="N34" s="11"/>
      <c r="O34" s="11"/>
    </row>
    <row r="35" spans="1:19" ht="12.95" customHeight="1" x14ac:dyDescent="0.2">
      <c r="H35" s="29" t="s">
        <v>152</v>
      </c>
      <c r="I35" s="29" t="s">
        <v>154</v>
      </c>
      <c r="J35" s="29" t="s">
        <v>153</v>
      </c>
      <c r="K35" s="13">
        <f>+$K$106</f>
        <v>2020</v>
      </c>
      <c r="L35" s="13">
        <f>+$L$106</f>
        <v>2021</v>
      </c>
      <c r="M35" s="13">
        <f>+$M$106</f>
        <v>2022</v>
      </c>
      <c r="N35" s="13">
        <f>+$N$106</f>
        <v>2023</v>
      </c>
      <c r="O35" s="13">
        <f>+$O$106</f>
        <v>2024</v>
      </c>
    </row>
    <row r="36" spans="1:19" ht="12.95" customHeight="1" x14ac:dyDescent="0.2">
      <c r="F36" s="1" t="str">
        <f>+B51</f>
        <v>Revolving Credit Facility</v>
      </c>
      <c r="H36" s="32">
        <v>5</v>
      </c>
      <c r="I36" s="246">
        <f>+J36/H36</f>
        <v>0.4</v>
      </c>
      <c r="J36" s="246">
        <f>+$M$28*M24</f>
        <v>2</v>
      </c>
      <c r="K36" s="247">
        <f t="shared" ref="K36:O39" si="4">+MAX(J36-$I36,0)</f>
        <v>1.6</v>
      </c>
      <c r="L36" s="247">
        <f t="shared" si="4"/>
        <v>1.2000000000000002</v>
      </c>
      <c r="M36" s="247">
        <f t="shared" si="4"/>
        <v>0.80000000000000016</v>
      </c>
      <c r="N36" s="247">
        <f t="shared" si="4"/>
        <v>0.40000000000000013</v>
      </c>
      <c r="O36" s="247">
        <f t="shared" si="4"/>
        <v>1.1102230246251565E-16</v>
      </c>
    </row>
    <row r="37" spans="1:19" ht="12.95" customHeight="1" x14ac:dyDescent="0.2">
      <c r="F37" s="1" t="str">
        <f>+B52</f>
        <v>First Lien Term Loan</v>
      </c>
      <c r="H37" s="34">
        <v>5</v>
      </c>
      <c r="I37" s="248">
        <f>+J37/H37</f>
        <v>0</v>
      </c>
      <c r="J37" s="249">
        <f>+$M$24*F52</f>
        <v>0</v>
      </c>
      <c r="K37" s="249">
        <f t="shared" si="4"/>
        <v>0</v>
      </c>
      <c r="L37" s="249">
        <f t="shared" si="4"/>
        <v>0</v>
      </c>
      <c r="M37" s="249">
        <f t="shared" si="4"/>
        <v>0</v>
      </c>
      <c r="N37" s="249">
        <f t="shared" si="4"/>
        <v>0</v>
      </c>
      <c r="O37" s="249">
        <f t="shared" si="4"/>
        <v>0</v>
      </c>
    </row>
    <row r="38" spans="1:19" ht="12.95" customHeight="1" x14ac:dyDescent="0.2">
      <c r="F38" s="1" t="str">
        <f>+B53</f>
        <v>Second Lien Term Loan</v>
      </c>
      <c r="G38" s="25"/>
      <c r="H38" s="34">
        <v>7</v>
      </c>
      <c r="I38" s="248">
        <f>+J38/H38</f>
        <v>0</v>
      </c>
      <c r="J38" s="249">
        <f>+$M$24*F53</f>
        <v>0</v>
      </c>
      <c r="K38" s="249">
        <f t="shared" si="4"/>
        <v>0</v>
      </c>
      <c r="L38" s="249">
        <f t="shared" si="4"/>
        <v>0</v>
      </c>
      <c r="M38" s="249">
        <f t="shared" si="4"/>
        <v>0</v>
      </c>
      <c r="N38" s="249">
        <f t="shared" si="4"/>
        <v>0</v>
      </c>
      <c r="O38" s="249">
        <f t="shared" si="4"/>
        <v>0</v>
      </c>
    </row>
    <row r="39" spans="1:19" ht="12.95" customHeight="1" x14ac:dyDescent="0.2">
      <c r="F39" s="1" t="str">
        <f>+B54</f>
        <v>Notes</v>
      </c>
      <c r="G39" s="25"/>
      <c r="H39" s="34">
        <v>10</v>
      </c>
      <c r="I39" s="248">
        <f>+J39/H39</f>
        <v>0</v>
      </c>
      <c r="J39" s="249">
        <f>+$M$24*F54</f>
        <v>0</v>
      </c>
      <c r="K39" s="249">
        <f t="shared" si="4"/>
        <v>0</v>
      </c>
      <c r="L39" s="249">
        <f t="shared" si="4"/>
        <v>0</v>
      </c>
      <c r="M39" s="249">
        <f t="shared" si="4"/>
        <v>0</v>
      </c>
      <c r="N39" s="249">
        <f t="shared" si="4"/>
        <v>0</v>
      </c>
      <c r="O39" s="249">
        <f t="shared" si="4"/>
        <v>0</v>
      </c>
    </row>
    <row r="40" spans="1:19" ht="12.95" customHeight="1" x14ac:dyDescent="0.2">
      <c r="F40" s="25"/>
      <c r="G40" s="25"/>
      <c r="H40" s="25"/>
      <c r="I40" s="25"/>
      <c r="K40" s="38"/>
      <c r="L40" s="38"/>
      <c r="M40" s="38"/>
      <c r="N40" s="38"/>
      <c r="O40" s="38"/>
    </row>
    <row r="41" spans="1:19" ht="12.95" customHeight="1" x14ac:dyDescent="0.2">
      <c r="F41" s="25"/>
      <c r="G41" s="25"/>
      <c r="H41" s="20" t="s">
        <v>90</v>
      </c>
      <c r="I41" s="18"/>
      <c r="J41" s="39">
        <f t="shared" ref="J41:O41" si="5">SUM(J36:J40)</f>
        <v>2</v>
      </c>
      <c r="K41" s="22">
        <f t="shared" si="5"/>
        <v>1.6</v>
      </c>
      <c r="L41" s="22">
        <f t="shared" si="5"/>
        <v>1.2000000000000002</v>
      </c>
      <c r="M41" s="22">
        <f t="shared" si="5"/>
        <v>0.80000000000000016</v>
      </c>
      <c r="N41" s="22">
        <f t="shared" si="5"/>
        <v>0.40000000000000013</v>
      </c>
      <c r="O41" s="23">
        <f t="shared" si="5"/>
        <v>1.1102230246251565E-16</v>
      </c>
    </row>
    <row r="42" spans="1:19" ht="12.95" customHeight="1" x14ac:dyDescent="0.2">
      <c r="F42" s="25"/>
      <c r="G42" s="25"/>
      <c r="H42" s="40" t="s">
        <v>156</v>
      </c>
      <c r="I42" s="3"/>
      <c r="J42" s="41"/>
      <c r="K42" s="42">
        <f>+J41-K41</f>
        <v>0.39999999999999991</v>
      </c>
      <c r="L42" s="42">
        <f>+K41-L41</f>
        <v>0.39999999999999991</v>
      </c>
      <c r="M42" s="42">
        <f>+L41-M41</f>
        <v>0.4</v>
      </c>
      <c r="N42" s="42">
        <f>+M41-N41</f>
        <v>0.4</v>
      </c>
      <c r="O42" s="43">
        <f>+N41-O41</f>
        <v>0.4</v>
      </c>
    </row>
    <row r="44" spans="1:19" ht="13.5" thickBot="1" x14ac:dyDescent="0.25">
      <c r="A44" s="1" t="s">
        <v>39</v>
      </c>
      <c r="B44" s="47" t="str">
        <f>+E4</f>
        <v>Gooey Cookies</v>
      </c>
      <c r="C44" s="48"/>
      <c r="D44" s="48"/>
      <c r="E44" s="48"/>
      <c r="F44" s="48"/>
      <c r="G44" s="48"/>
      <c r="H44" s="48"/>
      <c r="I44" s="48"/>
      <c r="J44" s="48"/>
      <c r="K44" s="48"/>
      <c r="L44" s="48"/>
      <c r="M44" s="48"/>
      <c r="N44" s="48"/>
      <c r="O44" s="48"/>
    </row>
    <row r="45" spans="1:19" ht="12.95" customHeight="1" x14ac:dyDescent="0.2">
      <c r="B45" s="49" t="s">
        <v>4</v>
      </c>
      <c r="C45" s="4"/>
      <c r="D45" s="4"/>
      <c r="E45" s="4"/>
      <c r="F45" s="4"/>
      <c r="G45" s="4"/>
      <c r="H45" s="4"/>
      <c r="I45" s="4"/>
      <c r="J45" s="4"/>
      <c r="K45" s="4"/>
      <c r="L45" s="4"/>
      <c r="M45" s="4"/>
      <c r="N45" s="4"/>
      <c r="O45" s="4"/>
    </row>
    <row r="46" spans="1:19" ht="12.95" customHeight="1" x14ac:dyDescent="0.2">
      <c r="B46" s="4"/>
      <c r="C46" s="4"/>
      <c r="D46" s="4"/>
      <c r="E46" s="4"/>
      <c r="F46" s="4"/>
      <c r="G46" s="4"/>
      <c r="H46" s="4"/>
      <c r="I46" s="4"/>
      <c r="J46" s="4"/>
      <c r="K46" s="4"/>
      <c r="L46" s="4"/>
      <c r="M46" s="4"/>
      <c r="N46" s="4"/>
      <c r="O46" s="4"/>
    </row>
    <row r="47" spans="1:19" ht="12.95" customHeight="1" x14ac:dyDescent="0.2">
      <c r="A47" s="1" t="s">
        <v>39</v>
      </c>
      <c r="B47" s="50" t="s">
        <v>105</v>
      </c>
      <c r="C47" s="51"/>
      <c r="D47" s="51"/>
      <c r="E47" s="51"/>
      <c r="F47" s="51"/>
      <c r="G47" s="51"/>
      <c r="H47" s="51"/>
      <c r="I47" s="51"/>
      <c r="J47" s="51"/>
      <c r="K47" s="51"/>
      <c r="L47" s="51"/>
      <c r="M47" s="51"/>
      <c r="N47" s="51"/>
      <c r="O47" s="51"/>
      <c r="Q47" s="20" t="s">
        <v>304</v>
      </c>
      <c r="R47" s="18"/>
      <c r="S47" s="292"/>
    </row>
    <row r="48" spans="1:19" ht="12.95" customHeight="1" x14ac:dyDescent="0.2">
      <c r="B48" s="4"/>
      <c r="C48" s="4"/>
      <c r="D48" s="4"/>
      <c r="E48" s="4"/>
      <c r="F48" s="4"/>
      <c r="G48" s="4"/>
      <c r="H48" s="4"/>
      <c r="I48" s="4"/>
      <c r="J48" s="4"/>
      <c r="K48" s="4"/>
      <c r="L48" s="4"/>
      <c r="M48" s="4"/>
      <c r="N48" s="4"/>
      <c r="O48" s="4"/>
      <c r="Q48" s="4" t="s">
        <v>183</v>
      </c>
      <c r="R48" s="4"/>
      <c r="S48" s="200">
        <f>+M50</f>
        <v>0</v>
      </c>
    </row>
    <row r="49" spans="1:19" ht="12.95" customHeight="1" x14ac:dyDescent="0.2">
      <c r="B49" s="2" t="s">
        <v>5</v>
      </c>
      <c r="C49" s="3"/>
      <c r="D49" s="3"/>
      <c r="E49" s="2" t="s">
        <v>134</v>
      </c>
      <c r="F49" s="29" t="s">
        <v>135</v>
      </c>
      <c r="G49" s="29" t="s">
        <v>136</v>
      </c>
      <c r="I49" s="2" t="s">
        <v>6</v>
      </c>
      <c r="J49" s="3"/>
      <c r="K49" s="3"/>
      <c r="L49" s="3"/>
      <c r="M49" s="29" t="s">
        <v>135</v>
      </c>
      <c r="Q49" s="1" t="s">
        <v>305</v>
      </c>
      <c r="S49" s="38">
        <f>+M51</f>
        <v>0</v>
      </c>
    </row>
    <row r="50" spans="1:19" ht="12.95" customHeight="1" x14ac:dyDescent="0.2">
      <c r="B50" s="4" t="s">
        <v>303</v>
      </c>
      <c r="C50" s="4"/>
      <c r="D50" s="4"/>
      <c r="E50" s="4"/>
      <c r="F50" s="289"/>
      <c r="G50" s="58">
        <f t="shared" ref="G50:G55" si="6">+F50/F$56</f>
        <v>0</v>
      </c>
      <c r="I50" s="4" t="s">
        <v>139</v>
      </c>
      <c r="J50" s="4"/>
      <c r="K50" s="4"/>
      <c r="L50" s="4"/>
      <c r="M50" s="289"/>
      <c r="Q50" s="4" t="s">
        <v>301</v>
      </c>
      <c r="R50" s="4"/>
      <c r="S50" s="200">
        <f>-F50</f>
        <v>0</v>
      </c>
    </row>
    <row r="51" spans="1:19" ht="12.95" customHeight="1" x14ac:dyDescent="0.2">
      <c r="B51" s="52" t="s">
        <v>7</v>
      </c>
      <c r="C51" s="4"/>
      <c r="D51" s="4"/>
      <c r="E51" s="53">
        <v>0</v>
      </c>
      <c r="F51" s="16">
        <f>+E51*$M$26</f>
        <v>0</v>
      </c>
      <c r="G51" s="55">
        <f t="shared" si="6"/>
        <v>0</v>
      </c>
      <c r="I51" s="1" t="s">
        <v>296</v>
      </c>
      <c r="M51" s="287"/>
      <c r="Q51" s="20" t="s">
        <v>201</v>
      </c>
      <c r="R51" s="21"/>
      <c r="S51" s="173">
        <f>SUM(S48:S50)</f>
        <v>0</v>
      </c>
    </row>
    <row r="52" spans="1:19" ht="12.95" customHeight="1" x14ac:dyDescent="0.2">
      <c r="B52" s="56" t="s">
        <v>8</v>
      </c>
      <c r="E52" s="57">
        <v>2</v>
      </c>
      <c r="F52" s="16">
        <f>+E52*$M$26</f>
        <v>0</v>
      </c>
      <c r="G52" s="58">
        <f t="shared" si="6"/>
        <v>0</v>
      </c>
      <c r="I52" s="33" t="s">
        <v>14</v>
      </c>
      <c r="M52" s="16">
        <f>+SUM(J36:J39)</f>
        <v>2</v>
      </c>
    </row>
    <row r="53" spans="1:19" ht="12.95" customHeight="1" x14ac:dyDescent="0.2">
      <c r="B53" s="56" t="s">
        <v>9</v>
      </c>
      <c r="E53" s="57">
        <v>1</v>
      </c>
      <c r="F53" s="16">
        <f>+E53*$M$26</f>
        <v>0</v>
      </c>
      <c r="G53" s="58">
        <f t="shared" si="6"/>
        <v>0</v>
      </c>
      <c r="I53" s="33" t="s">
        <v>15</v>
      </c>
      <c r="M53" s="16">
        <f>+M23*E24</f>
        <v>0</v>
      </c>
    </row>
    <row r="54" spans="1:19" ht="12.95" customHeight="1" x14ac:dyDescent="0.2">
      <c r="B54" s="59" t="s">
        <v>10</v>
      </c>
      <c r="C54" s="60"/>
      <c r="D54" s="60"/>
      <c r="E54" s="61">
        <v>2.5</v>
      </c>
      <c r="F54" s="62">
        <f>+E54*$M$26</f>
        <v>0</v>
      </c>
      <c r="G54" s="63">
        <f t="shared" si="6"/>
        <v>0</v>
      </c>
      <c r="M54" s="16"/>
    </row>
    <row r="55" spans="1:19" ht="12.95" customHeight="1" x14ac:dyDescent="0.2">
      <c r="B55" s="27" t="s">
        <v>11</v>
      </c>
      <c r="C55" s="3"/>
      <c r="D55" s="3"/>
      <c r="E55" s="65" t="e">
        <f>+F55/M26</f>
        <v>#DIV/0!</v>
      </c>
      <c r="F55" s="66">
        <f>+M56-SUM(F50:F54)</f>
        <v>2</v>
      </c>
      <c r="G55" s="67">
        <f t="shared" si="6"/>
        <v>1</v>
      </c>
      <c r="I55" s="3"/>
      <c r="J55" s="3"/>
      <c r="K55" s="3"/>
      <c r="L55" s="3"/>
      <c r="M55" s="68"/>
    </row>
    <row r="56" spans="1:19" ht="12.95" customHeight="1" x14ac:dyDescent="0.2">
      <c r="B56" s="30" t="s">
        <v>12</v>
      </c>
      <c r="C56" s="69"/>
      <c r="D56" s="69"/>
      <c r="E56" s="70" t="e">
        <f>SUM(E51:E55)</f>
        <v>#DIV/0!</v>
      </c>
      <c r="F56" s="71">
        <f>+SUM(F50:F55)</f>
        <v>2</v>
      </c>
      <c r="G56" s="72">
        <f>SUM(G50:G55)</f>
        <v>1</v>
      </c>
      <c r="I56" s="30" t="s">
        <v>16</v>
      </c>
      <c r="J56" s="69"/>
      <c r="K56" s="69"/>
      <c r="L56" s="69"/>
      <c r="M56" s="71">
        <f>+SUM(M50:M55)</f>
        <v>2</v>
      </c>
    </row>
    <row r="58" spans="1:19" ht="12.95" customHeight="1" x14ac:dyDescent="0.2">
      <c r="A58" s="1" t="s">
        <v>39</v>
      </c>
      <c r="B58" s="50" t="s">
        <v>182</v>
      </c>
      <c r="C58" s="51"/>
      <c r="D58" s="51"/>
      <c r="E58" s="51"/>
      <c r="F58" s="51"/>
      <c r="G58" s="51"/>
      <c r="H58" s="51"/>
      <c r="I58" s="51"/>
      <c r="J58" s="51"/>
      <c r="K58" s="51"/>
      <c r="L58" s="51"/>
      <c r="M58" s="51"/>
      <c r="N58" s="51"/>
      <c r="O58" s="73"/>
    </row>
    <row r="60" spans="1:19" ht="12.95" customHeight="1" x14ac:dyDescent="0.35">
      <c r="A60" s="4"/>
      <c r="B60" s="4"/>
      <c r="C60" s="4"/>
      <c r="D60" s="4"/>
      <c r="E60" s="4"/>
      <c r="F60" s="4"/>
      <c r="G60" s="4"/>
      <c r="H60" s="10" t="str">
        <f>+$K$34</f>
        <v>Fiscal Year Ended 12/31</v>
      </c>
      <c r="I60" s="11"/>
      <c r="J60" s="11"/>
      <c r="K60" s="10"/>
      <c r="L60" s="85"/>
      <c r="M60" s="85"/>
      <c r="N60" s="85"/>
      <c r="O60" s="85"/>
    </row>
    <row r="61" spans="1:19" ht="12.95" customHeight="1" x14ac:dyDescent="0.2">
      <c r="H61" s="74">
        <f>+I61-1</f>
        <v>2017</v>
      </c>
      <c r="I61" s="74">
        <f>+J61-1</f>
        <v>2018</v>
      </c>
      <c r="J61" s="141">
        <f>+K61-1</f>
        <v>2019</v>
      </c>
      <c r="K61" s="13">
        <f>+$K$106</f>
        <v>2020</v>
      </c>
      <c r="L61" s="13">
        <f>+$L$106</f>
        <v>2021</v>
      </c>
      <c r="M61" s="13">
        <f>+$M$106</f>
        <v>2022</v>
      </c>
      <c r="N61" s="13">
        <f>+$N$106</f>
        <v>2023</v>
      </c>
      <c r="O61" s="13">
        <f>+$O$106</f>
        <v>2024</v>
      </c>
    </row>
    <row r="62" spans="1:19" ht="12.95" customHeight="1" x14ac:dyDescent="0.2">
      <c r="B62" s="76" t="s">
        <v>33</v>
      </c>
      <c r="C62" s="76"/>
      <c r="D62" s="76"/>
      <c r="E62" s="76"/>
      <c r="F62" s="76"/>
      <c r="G62" s="76"/>
      <c r="H62" s="71">
        <f>+H107</f>
        <v>900</v>
      </c>
      <c r="I62" s="71">
        <f t="shared" ref="I62:O62" si="7">+I107</f>
        <v>963</v>
      </c>
      <c r="J62" s="271">
        <f t="shared" si="7"/>
        <v>1030.4100000000001</v>
      </c>
      <c r="K62" s="71">
        <f t="shared" si="7"/>
        <v>1102.5387000000001</v>
      </c>
      <c r="L62" s="71">
        <f t="shared" si="7"/>
        <v>1179.7164090000001</v>
      </c>
      <c r="M62" s="71">
        <f t="shared" si="7"/>
        <v>1262.2965576300003</v>
      </c>
      <c r="N62" s="71">
        <f t="shared" si="7"/>
        <v>1350.6573166641003</v>
      </c>
      <c r="O62" s="71">
        <f t="shared" si="7"/>
        <v>1445.2033288305875</v>
      </c>
    </row>
    <row r="63" spans="1:19" s="78" customFormat="1" ht="12.95" customHeight="1" x14ac:dyDescent="0.2">
      <c r="B63" s="268" t="s">
        <v>294</v>
      </c>
      <c r="I63" s="79">
        <f>+I62/H62-1</f>
        <v>7.0000000000000062E-2</v>
      </c>
      <c r="J63" s="272">
        <f t="shared" ref="J63:O63" si="8">+J62/I62-1</f>
        <v>7.0000000000000062E-2</v>
      </c>
      <c r="K63" s="269">
        <f t="shared" si="8"/>
        <v>7.0000000000000062E-2</v>
      </c>
      <c r="L63" s="79">
        <f t="shared" si="8"/>
        <v>7.0000000000000062E-2</v>
      </c>
      <c r="M63" s="79">
        <f t="shared" si="8"/>
        <v>7.0000000000000062E-2</v>
      </c>
      <c r="N63" s="79">
        <f t="shared" si="8"/>
        <v>7.0000000000000062E-2</v>
      </c>
      <c r="O63" s="79">
        <f t="shared" si="8"/>
        <v>7.0000000000000062E-2</v>
      </c>
    </row>
    <row r="64" spans="1:19" ht="12.95" customHeight="1" x14ac:dyDescent="0.2">
      <c r="B64" s="76" t="s">
        <v>160</v>
      </c>
      <c r="C64" s="76"/>
      <c r="D64" s="76"/>
      <c r="E64" s="76"/>
      <c r="F64" s="76"/>
      <c r="G64" s="76"/>
      <c r="H64" s="31">
        <f>+H123</f>
        <v>173.49999999999997</v>
      </c>
      <c r="I64" s="31">
        <f t="shared" ref="I64:O64" si="9">+I123</f>
        <v>184.11799999999999</v>
      </c>
      <c r="J64" s="271">
        <f t="shared" si="9"/>
        <v>194.68666999999994</v>
      </c>
      <c r="K64" s="71">
        <f t="shared" si="9"/>
        <v>211.13616104999991</v>
      </c>
      <c r="L64" s="31">
        <f t="shared" si="9"/>
        <v>231.22441616399993</v>
      </c>
      <c r="M64" s="31">
        <f t="shared" si="9"/>
        <v>253.09045980481494</v>
      </c>
      <c r="N64" s="31">
        <f t="shared" si="9"/>
        <v>276.88474991614049</v>
      </c>
      <c r="O64" s="31">
        <f t="shared" si="9"/>
        <v>302.770097390008</v>
      </c>
    </row>
    <row r="65" spans="2:15" s="78" customFormat="1" ht="12.95" customHeight="1" x14ac:dyDescent="0.2">
      <c r="B65" s="268" t="s">
        <v>295</v>
      </c>
      <c r="H65" s="79">
        <f>+H64/H62</f>
        <v>0.19277777777777774</v>
      </c>
      <c r="I65" s="79">
        <f t="shared" ref="I65:O65" si="10">+I64/I62</f>
        <v>0.19119210799584632</v>
      </c>
      <c r="J65" s="272">
        <f t="shared" si="10"/>
        <v>0.18894097495171816</v>
      </c>
      <c r="K65" s="269">
        <f t="shared" si="10"/>
        <v>0.19149999999999992</v>
      </c>
      <c r="L65" s="79">
        <f t="shared" si="10"/>
        <v>0.19599999999999992</v>
      </c>
      <c r="M65" s="79">
        <f t="shared" si="10"/>
        <v>0.2004999999999999</v>
      </c>
      <c r="N65" s="79">
        <f t="shared" si="10"/>
        <v>0.20499999999999993</v>
      </c>
      <c r="O65" s="79">
        <f t="shared" si="10"/>
        <v>0.20949999999999996</v>
      </c>
    </row>
    <row r="66" spans="2:15" ht="12.95" customHeight="1" x14ac:dyDescent="0.2">
      <c r="J66" s="131"/>
      <c r="K66" s="4"/>
    </row>
    <row r="67" spans="2:15" ht="12.95" customHeight="1" x14ac:dyDescent="0.2">
      <c r="B67" s="1" t="s">
        <v>162</v>
      </c>
      <c r="J67" s="131"/>
      <c r="K67" s="54">
        <f ca="1">+K318-K309</f>
        <v>-1.3859022574394879</v>
      </c>
      <c r="L67" s="54">
        <f t="shared" ref="L67:O67" ca="1" si="11">+L318-L309</f>
        <v>-2.6794552515142764</v>
      </c>
      <c r="M67" s="54">
        <f t="shared" ca="1" si="11"/>
        <v>-4.0646220689914179</v>
      </c>
      <c r="N67" s="54">
        <f t="shared" ca="1" si="11"/>
        <v>-5.5959526505002151</v>
      </c>
      <c r="O67" s="54">
        <f t="shared" ca="1" si="11"/>
        <v>-7.2868705049052416</v>
      </c>
    </row>
    <row r="68" spans="2:15" ht="12.95" customHeight="1" x14ac:dyDescent="0.2">
      <c r="B68" s="1" t="s">
        <v>71</v>
      </c>
      <c r="J68" s="131"/>
      <c r="K68" s="54">
        <f>+K126</f>
        <v>45.755356050000003</v>
      </c>
      <c r="L68" s="15">
        <f t="shared" ref="L68:O68" si="12">+L126</f>
        <v>49.548089178000005</v>
      </c>
      <c r="M68" s="15">
        <f t="shared" si="12"/>
        <v>53.647603699275017</v>
      </c>
      <c r="N68" s="15">
        <f t="shared" si="12"/>
        <v>58.078264616556318</v>
      </c>
      <c r="O68" s="15">
        <f t="shared" si="12"/>
        <v>62.866344804130563</v>
      </c>
    </row>
    <row r="69" spans="2:15" s="78" customFormat="1" ht="12.95" customHeight="1" x14ac:dyDescent="0.2">
      <c r="B69" s="268" t="s">
        <v>293</v>
      </c>
      <c r="J69" s="273"/>
      <c r="K69" s="269">
        <f>+K68/K62</f>
        <v>4.1500000000000002E-2</v>
      </c>
      <c r="L69" s="79">
        <f t="shared" ref="L69:O69" si="13">+L68/L62</f>
        <v>4.2000000000000003E-2</v>
      </c>
      <c r="M69" s="79">
        <f t="shared" si="13"/>
        <v>4.2500000000000003E-2</v>
      </c>
      <c r="N69" s="79">
        <f t="shared" si="13"/>
        <v>4.3000000000000003E-2</v>
      </c>
      <c r="O69" s="79">
        <f t="shared" si="13"/>
        <v>4.3500000000000004E-2</v>
      </c>
    </row>
    <row r="70" spans="2:15" ht="12.95" customHeight="1" x14ac:dyDescent="0.2">
      <c r="J70" s="131"/>
      <c r="K70" s="4"/>
    </row>
    <row r="71" spans="2:15" ht="12.95" customHeight="1" x14ac:dyDescent="0.35">
      <c r="J71" s="274"/>
      <c r="K71" s="10" t="str">
        <f>+$K$34</f>
        <v>Fiscal Year Ended 12/31</v>
      </c>
      <c r="L71" s="85"/>
      <c r="M71" s="85"/>
      <c r="N71" s="85"/>
      <c r="O71" s="85"/>
    </row>
    <row r="72" spans="2:15" ht="12.95" customHeight="1" x14ac:dyDescent="0.2">
      <c r="B72" s="24" t="s">
        <v>180</v>
      </c>
      <c r="J72" s="275"/>
      <c r="K72" s="118">
        <f>+$K$106</f>
        <v>2020</v>
      </c>
      <c r="L72" s="13">
        <f>+$L$106</f>
        <v>2021</v>
      </c>
      <c r="M72" s="13">
        <f>+$M$106</f>
        <v>2022</v>
      </c>
      <c r="N72" s="13">
        <f>+$N$106</f>
        <v>2023</v>
      </c>
      <c r="O72" s="13">
        <f>+$O$106</f>
        <v>2024</v>
      </c>
    </row>
    <row r="73" spans="2:15" ht="12.95" customHeight="1" x14ac:dyDescent="0.2">
      <c r="B73" s="1" t="s">
        <v>35</v>
      </c>
      <c r="J73" s="276"/>
      <c r="K73" s="221">
        <f>+K121</f>
        <v>211.13616104999991</v>
      </c>
      <c r="L73" s="54">
        <f t="shared" ref="L73:O73" si="14">+L121</f>
        <v>231.22441616399993</v>
      </c>
      <c r="M73" s="54">
        <f t="shared" si="14"/>
        <v>253.09045980481494</v>
      </c>
      <c r="N73" s="54">
        <f t="shared" si="14"/>
        <v>276.88474991614049</v>
      </c>
      <c r="O73" s="54">
        <f t="shared" si="14"/>
        <v>302.770097390008</v>
      </c>
    </row>
    <row r="74" spans="2:15" ht="12.95" customHeight="1" x14ac:dyDescent="0.2">
      <c r="B74" s="1" t="s">
        <v>163</v>
      </c>
      <c r="J74" s="277"/>
      <c r="K74" s="35">
        <f ca="1">-K67</f>
        <v>1.3859022574394879</v>
      </c>
      <c r="L74" s="35">
        <f t="shared" ref="L74:O74" ca="1" si="15">-L67</f>
        <v>2.6794552515142764</v>
      </c>
      <c r="M74" s="35">
        <f t="shared" ca="1" si="15"/>
        <v>4.0646220689914179</v>
      </c>
      <c r="N74" s="35">
        <f t="shared" ca="1" si="15"/>
        <v>5.5959526505002151</v>
      </c>
      <c r="O74" s="35">
        <f t="shared" ca="1" si="15"/>
        <v>7.2868705049052416</v>
      </c>
    </row>
    <row r="75" spans="2:15" ht="12.95" customHeight="1" x14ac:dyDescent="0.2">
      <c r="B75" s="1" t="s">
        <v>181</v>
      </c>
      <c r="J75" s="277"/>
      <c r="K75" s="35">
        <f ca="1">+K115</f>
        <v>-44.258654103934241</v>
      </c>
      <c r="L75" s="35">
        <f t="shared" ref="L75:O75" ca="1" si="16">+L115</f>
        <v>-48.748682180773692</v>
      </c>
      <c r="M75" s="35">
        <f t="shared" ca="1" si="16"/>
        <v>-53.628437087837646</v>
      </c>
      <c r="N75" s="35">
        <f t="shared" ca="1" si="16"/>
        <v>-58.942975671687265</v>
      </c>
      <c r="O75" s="35">
        <f t="shared" ca="1" si="16"/>
        <v>-64.729191301847422</v>
      </c>
    </row>
    <row r="76" spans="2:15" ht="12.95" customHeight="1" x14ac:dyDescent="0.2">
      <c r="B76" s="1" t="s">
        <v>164</v>
      </c>
      <c r="J76" s="278"/>
      <c r="K76" s="35">
        <f>+K210</f>
        <v>4.6723983343924207</v>
      </c>
      <c r="L76" s="35">
        <f t="shared" ref="L76:O76" si="17">+L210</f>
        <v>-4.0769527296803361</v>
      </c>
      <c r="M76" s="35">
        <f t="shared" si="17"/>
        <v>-4.3758249183255966</v>
      </c>
      <c r="N76" s="35">
        <f t="shared" si="17"/>
        <v>-4.6965621450057498</v>
      </c>
      <c r="O76" s="35">
        <f t="shared" si="17"/>
        <v>-5.0407610413213053</v>
      </c>
    </row>
    <row r="77" spans="2:15" ht="12.95" customHeight="1" x14ac:dyDescent="0.2">
      <c r="B77" s="4" t="s">
        <v>165</v>
      </c>
      <c r="C77" s="4"/>
      <c r="D77" s="4"/>
      <c r="E77" s="4"/>
      <c r="F77" s="4"/>
      <c r="G77" s="4"/>
      <c r="H77" s="4"/>
      <c r="I77" s="4"/>
      <c r="J77" s="278"/>
      <c r="K77" s="35">
        <f>-K68</f>
        <v>-45.755356050000003</v>
      </c>
      <c r="L77" s="35">
        <f t="shared" ref="L77:O77" si="18">-L68</f>
        <v>-49.548089178000005</v>
      </c>
      <c r="M77" s="35">
        <f t="shared" si="18"/>
        <v>-53.647603699275017</v>
      </c>
      <c r="N77" s="35">
        <f t="shared" si="18"/>
        <v>-58.078264616556318</v>
      </c>
      <c r="O77" s="35">
        <f t="shared" si="18"/>
        <v>-62.866344804130563</v>
      </c>
    </row>
    <row r="78" spans="2:15" s="4" customFormat="1" ht="12.95" customHeight="1" x14ac:dyDescent="0.2">
      <c r="B78" s="282" t="s">
        <v>166</v>
      </c>
      <c r="C78" s="94"/>
      <c r="D78" s="94"/>
      <c r="E78" s="94"/>
      <c r="F78" s="94"/>
      <c r="G78" s="94"/>
      <c r="H78" s="94"/>
      <c r="I78" s="94"/>
      <c r="J78" s="279"/>
      <c r="K78" s="234">
        <f ca="1">SUM(K73:K77)</f>
        <v>127.18045148789757</v>
      </c>
      <c r="L78" s="234">
        <f t="shared" ref="L78:O78" ca="1" si="19">SUM(L73:L77)</f>
        <v>131.53014732706018</v>
      </c>
      <c r="M78" s="234">
        <f t="shared" ca="1" si="19"/>
        <v>145.50321616836808</v>
      </c>
      <c r="N78" s="234">
        <f t="shared" ca="1" si="19"/>
        <v>160.76290013339141</v>
      </c>
      <c r="O78" s="235">
        <f t="shared" ca="1" si="19"/>
        <v>177.42067074761397</v>
      </c>
    </row>
    <row r="79" spans="2:15" s="4" customFormat="1" ht="12.95" customHeight="1" x14ac:dyDescent="0.2">
      <c r="B79" s="40" t="s">
        <v>167</v>
      </c>
      <c r="C79" s="2"/>
      <c r="D79" s="2"/>
      <c r="E79" s="2"/>
      <c r="F79" s="2"/>
      <c r="G79" s="2"/>
      <c r="H79" s="2"/>
      <c r="I79" s="2"/>
      <c r="J79" s="280"/>
      <c r="K79" s="42">
        <f ca="1">+K78</f>
        <v>127.18045148789757</v>
      </c>
      <c r="L79" s="42">
        <f ca="1">+K79+L78</f>
        <v>258.71059881495773</v>
      </c>
      <c r="M79" s="42">
        <f t="shared" ref="M79:O79" ca="1" si="20">+L79+M78</f>
        <v>404.21381498332585</v>
      </c>
      <c r="N79" s="42">
        <f t="shared" ca="1" si="20"/>
        <v>564.97671511671729</v>
      </c>
      <c r="O79" s="43">
        <f t="shared" ca="1" si="20"/>
        <v>742.39738586433123</v>
      </c>
    </row>
    <row r="80" spans="2:15" ht="12.95" customHeight="1" x14ac:dyDescent="0.2">
      <c r="J80" s="131"/>
      <c r="K80" s="270"/>
      <c r="L80" s="99"/>
      <c r="M80" s="99"/>
      <c r="N80" s="99"/>
      <c r="O80" s="99"/>
    </row>
    <row r="81" spans="2:16" ht="12.95" customHeight="1" x14ac:dyDescent="0.2">
      <c r="B81" s="24" t="s">
        <v>168</v>
      </c>
      <c r="J81" s="100" t="s">
        <v>126</v>
      </c>
      <c r="K81" s="4"/>
    </row>
    <row r="82" spans="2:16" ht="12.95" customHeight="1" x14ac:dyDescent="0.2">
      <c r="B82" s="1" t="s">
        <v>40</v>
      </c>
      <c r="J82" s="101">
        <f>+J142</f>
        <v>100</v>
      </c>
      <c r="K82" s="54">
        <f t="shared" ref="K82:O82" ca="1" si="21">+K142</f>
        <v>227.18045148789759</v>
      </c>
      <c r="L82" s="15">
        <f t="shared" ca="1" si="21"/>
        <v>358.71059881495773</v>
      </c>
      <c r="M82" s="15">
        <f t="shared" ca="1" si="21"/>
        <v>504.21381498332585</v>
      </c>
      <c r="N82" s="15">
        <f t="shared" ca="1" si="21"/>
        <v>664.97671511671717</v>
      </c>
      <c r="O82" s="15">
        <f t="shared" ca="1" si="21"/>
        <v>842.39738586433111</v>
      </c>
    </row>
    <row r="83" spans="2:16" ht="12.95" customHeight="1" x14ac:dyDescent="0.2">
      <c r="J83" s="102"/>
      <c r="K83" s="4"/>
    </row>
    <row r="84" spans="2:16" ht="12.95" customHeight="1" x14ac:dyDescent="0.2">
      <c r="B84" s="1" t="s">
        <v>169</v>
      </c>
      <c r="J84" s="103">
        <f>+J161</f>
        <v>150</v>
      </c>
      <c r="K84" s="175">
        <f t="shared" ref="K84:O84" si="22">+K161</f>
        <v>150</v>
      </c>
      <c r="L84" s="14">
        <f t="shared" si="22"/>
        <v>150</v>
      </c>
      <c r="M84" s="14">
        <f t="shared" si="22"/>
        <v>150</v>
      </c>
      <c r="N84" s="14">
        <f t="shared" si="22"/>
        <v>150</v>
      </c>
      <c r="O84" s="14">
        <f t="shared" si="22"/>
        <v>150</v>
      </c>
    </row>
    <row r="85" spans="2:16" ht="12.95" customHeight="1" x14ac:dyDescent="0.2">
      <c r="J85" s="283"/>
      <c r="K85" s="88"/>
      <c r="L85" s="264"/>
      <c r="M85" s="264"/>
      <c r="N85" s="264"/>
      <c r="O85" s="264"/>
    </row>
    <row r="86" spans="2:16" ht="12.95" customHeight="1" x14ac:dyDescent="0.2">
      <c r="B86" s="1" t="str">
        <f>+B51</f>
        <v>Revolving Credit Facility</v>
      </c>
      <c r="J86" s="104">
        <f>+J162</f>
        <v>0</v>
      </c>
      <c r="K86" s="35">
        <f t="shared" ref="K86:O86" ca="1" si="23">+K162</f>
        <v>0</v>
      </c>
      <c r="L86" s="16">
        <f t="shared" ca="1" si="23"/>
        <v>0</v>
      </c>
      <c r="M86" s="16">
        <f t="shared" ca="1" si="23"/>
        <v>0</v>
      </c>
      <c r="N86" s="16">
        <f t="shared" ca="1" si="23"/>
        <v>0</v>
      </c>
      <c r="O86" s="16">
        <f t="shared" ca="1" si="23"/>
        <v>0</v>
      </c>
    </row>
    <row r="87" spans="2:16" ht="12.95" customHeight="1" x14ac:dyDescent="0.2">
      <c r="B87" s="1" t="str">
        <f>+B52</f>
        <v>First Lien Term Loan</v>
      </c>
      <c r="J87" s="104">
        <f t="shared" ref="J87:O88" si="24">+J163</f>
        <v>0</v>
      </c>
      <c r="K87" s="35">
        <f t="shared" ca="1" si="24"/>
        <v>0</v>
      </c>
      <c r="L87" s="16">
        <f t="shared" ca="1" si="24"/>
        <v>0</v>
      </c>
      <c r="M87" s="16">
        <f t="shared" ca="1" si="24"/>
        <v>0</v>
      </c>
      <c r="N87" s="16">
        <f t="shared" ca="1" si="24"/>
        <v>0</v>
      </c>
      <c r="O87" s="16">
        <f t="shared" ca="1" si="24"/>
        <v>0</v>
      </c>
    </row>
    <row r="88" spans="2:16" ht="12.95" customHeight="1" x14ac:dyDescent="0.2">
      <c r="B88" s="3" t="str">
        <f>+B53</f>
        <v>Second Lien Term Loan</v>
      </c>
      <c r="C88" s="3"/>
      <c r="D88" s="3"/>
      <c r="E88" s="3"/>
      <c r="F88" s="3"/>
      <c r="G88" s="3"/>
      <c r="H88" s="3"/>
      <c r="I88" s="3"/>
      <c r="J88" s="105">
        <f t="shared" si="24"/>
        <v>0</v>
      </c>
      <c r="K88" s="66">
        <f t="shared" ca="1" si="24"/>
        <v>0</v>
      </c>
      <c r="L88" s="66">
        <f t="shared" ca="1" si="24"/>
        <v>0</v>
      </c>
      <c r="M88" s="66">
        <f t="shared" ca="1" si="24"/>
        <v>0</v>
      </c>
      <c r="N88" s="66">
        <f t="shared" ca="1" si="24"/>
        <v>0</v>
      </c>
      <c r="O88" s="66">
        <f t="shared" ca="1" si="24"/>
        <v>0</v>
      </c>
    </row>
    <row r="89" spans="2:16" ht="12.95" customHeight="1" x14ac:dyDescent="0.2">
      <c r="B89" s="69" t="s">
        <v>170</v>
      </c>
      <c r="C89" s="69"/>
      <c r="D89" s="69"/>
      <c r="E89" s="69"/>
      <c r="F89" s="69"/>
      <c r="G89" s="69"/>
      <c r="H89" s="69"/>
      <c r="I89" s="69"/>
      <c r="J89" s="106">
        <f>+SUM(J86:J88)</f>
        <v>0</v>
      </c>
      <c r="K89" s="71">
        <f t="shared" ref="K89:O89" ca="1" si="25">+SUM(K86:K88)</f>
        <v>0</v>
      </c>
      <c r="L89" s="71">
        <f t="shared" ca="1" si="25"/>
        <v>0</v>
      </c>
      <c r="M89" s="71">
        <f t="shared" ca="1" si="25"/>
        <v>0</v>
      </c>
      <c r="N89" s="71">
        <f t="shared" ca="1" si="25"/>
        <v>0</v>
      </c>
      <c r="O89" s="71">
        <f t="shared" ca="1" si="25"/>
        <v>0</v>
      </c>
    </row>
    <row r="90" spans="2:16" ht="12.95" customHeight="1" x14ac:dyDescent="0.2">
      <c r="B90" s="3" t="str">
        <f>+B54</f>
        <v>Notes</v>
      </c>
      <c r="C90" s="3"/>
      <c r="D90" s="3"/>
      <c r="E90" s="3"/>
      <c r="F90" s="3"/>
      <c r="G90" s="3"/>
      <c r="H90" s="3"/>
      <c r="I90" s="3"/>
      <c r="J90" s="105">
        <f>+J165</f>
        <v>0</v>
      </c>
      <c r="K90" s="66">
        <f t="shared" ref="K90:O90" ca="1" si="26">+K165</f>
        <v>0</v>
      </c>
      <c r="L90" s="66">
        <f t="shared" ca="1" si="26"/>
        <v>0</v>
      </c>
      <c r="M90" s="66">
        <f t="shared" ca="1" si="26"/>
        <v>0</v>
      </c>
      <c r="N90" s="66">
        <f t="shared" ca="1" si="26"/>
        <v>0</v>
      </c>
      <c r="O90" s="66">
        <f t="shared" ca="1" si="26"/>
        <v>0</v>
      </c>
    </row>
    <row r="91" spans="2:16" ht="12.95" customHeight="1" x14ac:dyDescent="0.2">
      <c r="B91" s="69" t="s">
        <v>171</v>
      </c>
      <c r="C91" s="4"/>
      <c r="D91" s="4"/>
      <c r="E91" s="4"/>
      <c r="F91" s="4"/>
      <c r="G91" s="4"/>
      <c r="H91" s="4"/>
      <c r="I91" s="4"/>
      <c r="J91" s="106">
        <f>+SUM(J89:J90)+J84</f>
        <v>150</v>
      </c>
      <c r="K91" s="71">
        <f t="shared" ref="K91:O91" ca="1" si="27">+SUM(K89:K90)+K84</f>
        <v>150</v>
      </c>
      <c r="L91" s="71">
        <f t="shared" ca="1" si="27"/>
        <v>150</v>
      </c>
      <c r="M91" s="71">
        <f t="shared" ca="1" si="27"/>
        <v>150</v>
      </c>
      <c r="N91" s="71">
        <f t="shared" ca="1" si="27"/>
        <v>150</v>
      </c>
      <c r="O91" s="71">
        <f t="shared" ca="1" si="27"/>
        <v>150</v>
      </c>
    </row>
    <row r="92" spans="2:16" ht="12.95" customHeight="1" x14ac:dyDescent="0.2">
      <c r="B92" s="3" t="str">
        <f>+B168</f>
        <v>Equity</v>
      </c>
      <c r="C92" s="3"/>
      <c r="D92" s="3"/>
      <c r="E92" s="3"/>
      <c r="F92" s="3"/>
      <c r="G92" s="3"/>
      <c r="H92" s="3"/>
      <c r="I92" s="3"/>
      <c r="J92" s="105">
        <f>+J168</f>
        <v>2</v>
      </c>
      <c r="K92" s="66">
        <f t="shared" ref="K92:O92" ca="1" si="28">+K168</f>
        <v>127.96693860350513</v>
      </c>
      <c r="L92" s="66">
        <f t="shared" ca="1" si="28"/>
        <v>266.71318788724562</v>
      </c>
      <c r="M92" s="66">
        <f t="shared" ca="1" si="28"/>
        <v>419.34797036801433</v>
      </c>
      <c r="N92" s="66">
        <f t="shared" ca="1" si="28"/>
        <v>587.10874727973965</v>
      </c>
      <c r="O92" s="66">
        <f t="shared" ca="1" si="28"/>
        <v>771.33798406192068</v>
      </c>
    </row>
    <row r="93" spans="2:16" ht="12.95" customHeight="1" x14ac:dyDescent="0.2">
      <c r="B93" s="69" t="s">
        <v>172</v>
      </c>
      <c r="C93" s="69"/>
      <c r="D93" s="69"/>
      <c r="E93" s="69"/>
      <c r="F93" s="69"/>
      <c r="G93" s="69"/>
      <c r="H93" s="69"/>
      <c r="I93" s="69"/>
      <c r="J93" s="106">
        <f>SUM(J91:J92)</f>
        <v>152</v>
      </c>
      <c r="K93" s="71">
        <f t="shared" ref="K93:O93" ca="1" si="29">SUM(K91:K92)</f>
        <v>277.96693860350513</v>
      </c>
      <c r="L93" s="71">
        <f t="shared" ca="1" si="29"/>
        <v>416.71318788724562</v>
      </c>
      <c r="M93" s="71">
        <f t="shared" ca="1" si="29"/>
        <v>569.34797036801433</v>
      </c>
      <c r="N93" s="71">
        <f t="shared" ca="1" si="29"/>
        <v>737.10874727973965</v>
      </c>
      <c r="O93" s="71">
        <f t="shared" ca="1" si="29"/>
        <v>921.33798406192068</v>
      </c>
    </row>
    <row r="94" spans="2:16" ht="12.95" customHeight="1" x14ac:dyDescent="0.2">
      <c r="J94" s="107"/>
      <c r="K94" s="4"/>
    </row>
    <row r="95" spans="2:16" ht="12.95" customHeight="1" x14ac:dyDescent="0.2">
      <c r="B95" s="24" t="s">
        <v>173</v>
      </c>
      <c r="J95" s="102"/>
      <c r="K95" s="284"/>
      <c r="O95" s="108"/>
      <c r="P95" s="109"/>
    </row>
    <row r="96" spans="2:16" ht="12.95" customHeight="1" x14ac:dyDescent="0.2">
      <c r="B96" s="1" t="s">
        <v>174</v>
      </c>
      <c r="J96" s="281">
        <f>+J91/J64</f>
        <v>0.77046877426174087</v>
      </c>
      <c r="K96" s="111">
        <f t="shared" ref="K96:O96" ca="1" si="30">+K91/K64</f>
        <v>0.7104420164411247</v>
      </c>
      <c r="L96" s="111">
        <f t="shared" ca="1" si="30"/>
        <v>0.64872041840775974</v>
      </c>
      <c r="M96" s="111">
        <f t="shared" ca="1" si="30"/>
        <v>0.59267346590496139</v>
      </c>
      <c r="N96" s="111">
        <f t="shared" ca="1" si="30"/>
        <v>0.54174164537927849</v>
      </c>
      <c r="O96" s="111">
        <f t="shared" ca="1" si="30"/>
        <v>0.49542541120492534</v>
      </c>
      <c r="P96" s="109"/>
    </row>
    <row r="97" spans="1:16" ht="12.95" customHeight="1" x14ac:dyDescent="0.2">
      <c r="B97" s="1" t="s">
        <v>175</v>
      </c>
      <c r="J97" s="281">
        <f>+(J91-J82)/J64</f>
        <v>0.25682292475391366</v>
      </c>
      <c r="K97" s="111">
        <f t="shared" ref="K97:O97" ca="1" si="31">+(K91-K82)/K64</f>
        <v>-0.36554823723265578</v>
      </c>
      <c r="L97" s="111">
        <f t="shared" ca="1" si="31"/>
        <v>-0.90263217992915645</v>
      </c>
      <c r="M97" s="111">
        <f t="shared" ca="1" si="31"/>
        <v>-1.39955419598391</v>
      </c>
      <c r="N97" s="111">
        <f t="shared" ca="1" si="31"/>
        <v>-1.8598955531956423</v>
      </c>
      <c r="O97" s="111">
        <f t="shared" ca="1" si="31"/>
        <v>-2.2868750640603439</v>
      </c>
      <c r="P97" s="109"/>
    </row>
    <row r="98" spans="1:16" ht="12.95" customHeight="1" x14ac:dyDescent="0.2">
      <c r="B98" s="1" t="s">
        <v>176</v>
      </c>
      <c r="J98" s="107"/>
      <c r="K98" s="114">
        <f ca="1">+K78/K91</f>
        <v>0.84786967658598378</v>
      </c>
      <c r="L98" s="114">
        <f t="shared" ref="L98:O98" ca="1" si="32">+L78/L91</f>
        <v>0.8768676488470678</v>
      </c>
      <c r="M98" s="114">
        <f t="shared" ca="1" si="32"/>
        <v>0.97002144112245392</v>
      </c>
      <c r="N98" s="114">
        <f t="shared" ca="1" si="32"/>
        <v>1.0717526675559428</v>
      </c>
      <c r="O98" s="114">
        <f t="shared" ca="1" si="32"/>
        <v>1.1828044716507597</v>
      </c>
    </row>
    <row r="99" spans="1:16" ht="12.95" customHeight="1" x14ac:dyDescent="0.2">
      <c r="J99" s="107"/>
      <c r="K99" s="4"/>
      <c r="O99" s="76"/>
    </row>
    <row r="100" spans="1:16" ht="12.95" customHeight="1" x14ac:dyDescent="0.2">
      <c r="B100" s="1" t="s">
        <v>177</v>
      </c>
      <c r="J100" s="107"/>
      <c r="K100" s="111">
        <f ca="1">+K64/K67</f>
        <v>-152.34563614903317</v>
      </c>
      <c r="L100" s="111">
        <f t="shared" ref="L100:O100" ca="1" si="33">+L64/L67</f>
        <v>-86.295307985951609</v>
      </c>
      <c r="M100" s="111">
        <f t="shared" ca="1" si="33"/>
        <v>-62.266664774473355</v>
      </c>
      <c r="N100" s="111">
        <f t="shared" ca="1" si="33"/>
        <v>-49.479466180148989</v>
      </c>
      <c r="O100" s="111">
        <f t="shared" ca="1" si="33"/>
        <v>-41.550086170214605</v>
      </c>
    </row>
    <row r="101" spans="1:16" ht="12.95" customHeight="1" x14ac:dyDescent="0.2">
      <c r="B101" s="1" t="s">
        <v>178</v>
      </c>
      <c r="J101" s="179"/>
      <c r="K101" s="111">
        <f ca="1">+(K64-K68)/K67</f>
        <v>-119.33078549532621</v>
      </c>
      <c r="L101" s="111">
        <f t="shared" ref="L101:O101" ca="1" si="34">+(L64-L68)/L67</f>
        <v>-67.803456274676265</v>
      </c>
      <c r="M101" s="111">
        <f t="shared" ca="1" si="34"/>
        <v>-49.06799518387426</v>
      </c>
      <c r="N101" s="111">
        <f t="shared" ca="1" si="34"/>
        <v>-39.100846444800666</v>
      </c>
      <c r="O101" s="111">
        <f t="shared" ca="1" si="34"/>
        <v>-32.922741309096054</v>
      </c>
    </row>
    <row r="103" spans="1:16" ht="12.95" customHeight="1" x14ac:dyDescent="0.2">
      <c r="A103" s="1" t="s">
        <v>39</v>
      </c>
      <c r="B103" s="50" t="s">
        <v>194</v>
      </c>
      <c r="C103" s="51"/>
      <c r="D103" s="51"/>
      <c r="E103" s="51"/>
      <c r="F103" s="51"/>
      <c r="G103" s="51"/>
      <c r="H103" s="51"/>
      <c r="I103" s="51"/>
      <c r="J103" s="51"/>
      <c r="K103" s="51"/>
      <c r="L103" s="51"/>
      <c r="M103" s="51"/>
      <c r="N103" s="51"/>
      <c r="O103" s="73"/>
    </row>
    <row r="104" spans="1:16" ht="12.95" customHeight="1" x14ac:dyDescent="0.2">
      <c r="B104" s="4"/>
      <c r="C104" s="4"/>
      <c r="D104" s="4"/>
      <c r="E104" s="4"/>
      <c r="F104" s="4"/>
      <c r="G104" s="4"/>
      <c r="H104" s="4"/>
      <c r="I104" s="4"/>
      <c r="J104" s="4"/>
      <c r="K104" s="4"/>
      <c r="L104" s="4"/>
      <c r="M104" s="4"/>
      <c r="N104" s="4"/>
      <c r="O104" s="4"/>
    </row>
    <row r="105" spans="1:16" ht="12.95" customHeight="1" x14ac:dyDescent="0.35">
      <c r="B105" s="4"/>
      <c r="C105" s="4"/>
      <c r="D105" s="4"/>
      <c r="E105" s="4"/>
      <c r="F105" s="4"/>
      <c r="G105" s="4"/>
      <c r="H105" s="10" t="str">
        <f>+$K$34</f>
        <v>Fiscal Year Ended 12/31</v>
      </c>
      <c r="I105" s="11"/>
      <c r="J105" s="11"/>
      <c r="K105" s="11"/>
      <c r="L105" s="11"/>
      <c r="M105" s="11"/>
      <c r="N105" s="11"/>
      <c r="O105" s="11"/>
    </row>
    <row r="106" spans="1:16" ht="12.95" customHeight="1" x14ac:dyDescent="0.2">
      <c r="B106" s="4"/>
      <c r="C106" s="4"/>
      <c r="D106" s="4"/>
      <c r="E106" s="4"/>
      <c r="F106" s="4"/>
      <c r="G106" s="4"/>
      <c r="H106" s="116">
        <f>+I106-1</f>
        <v>2017</v>
      </c>
      <c r="I106" s="116">
        <f>+J106-1</f>
        <v>2018</v>
      </c>
      <c r="J106" s="117">
        <f>+K106-1</f>
        <v>2019</v>
      </c>
      <c r="K106" s="118">
        <f>+E7</f>
        <v>2020</v>
      </c>
      <c r="L106" s="118">
        <f>+K106+1</f>
        <v>2021</v>
      </c>
      <c r="M106" s="118">
        <f>+L106+1</f>
        <v>2022</v>
      </c>
      <c r="N106" s="118">
        <f>+M106+1</f>
        <v>2023</v>
      </c>
      <c r="O106" s="118">
        <f>+N106+1</f>
        <v>2024</v>
      </c>
    </row>
    <row r="107" spans="1:16" ht="12.95" customHeight="1" x14ac:dyDescent="0.2">
      <c r="B107" s="4" t="s">
        <v>33</v>
      </c>
      <c r="C107" s="4"/>
      <c r="D107" s="4"/>
      <c r="E107" s="4"/>
      <c r="F107" s="4"/>
      <c r="G107" s="4"/>
      <c r="H107" s="119">
        <v>900</v>
      </c>
      <c r="I107" s="119">
        <v>963</v>
      </c>
      <c r="J107" s="231">
        <v>1030.4100000000001</v>
      </c>
      <c r="K107" s="232">
        <f>+J107*(1+K129)</f>
        <v>1102.5387000000001</v>
      </c>
      <c r="L107" s="232">
        <f>+K107*(1+L129)</f>
        <v>1179.7164090000001</v>
      </c>
      <c r="M107" s="232">
        <f>+L107*(1+M129)</f>
        <v>1262.2965576300003</v>
      </c>
      <c r="N107" s="232">
        <f>+M107*(1+N129)</f>
        <v>1350.6573166641003</v>
      </c>
      <c r="O107" s="232">
        <f>+N107*(1+O129)</f>
        <v>1445.2033288305875</v>
      </c>
    </row>
    <row r="108" spans="1:16" ht="12.95" customHeight="1" x14ac:dyDescent="0.2">
      <c r="B108" s="3" t="s">
        <v>24</v>
      </c>
      <c r="C108" s="3"/>
      <c r="D108" s="3"/>
      <c r="E108" s="3"/>
      <c r="F108" s="3"/>
      <c r="G108" s="3"/>
      <c r="H108" s="120">
        <v>-513</v>
      </c>
      <c r="I108" s="120">
        <v>-547.947</v>
      </c>
      <c r="J108" s="127">
        <v>-585.2728800000001</v>
      </c>
      <c r="K108" s="233">
        <f>-(K107*(1-K130))</f>
        <v>-624.03690420000009</v>
      </c>
      <c r="L108" s="233">
        <f>-(L107*(1-L130))</f>
        <v>-665.36005467600012</v>
      </c>
      <c r="M108" s="233">
        <f>-(M107*(1-M130))</f>
        <v>-709.41066538806024</v>
      </c>
      <c r="N108" s="233">
        <f>-(N107*(1-N130))</f>
        <v>-756.36809733189625</v>
      </c>
      <c r="O108" s="233">
        <f>-(O107*(1-O130))</f>
        <v>-806.42345748746789</v>
      </c>
    </row>
    <row r="109" spans="1:16" ht="12.95" customHeight="1" x14ac:dyDescent="0.2">
      <c r="B109" s="4" t="s">
        <v>17</v>
      </c>
      <c r="C109" s="4"/>
      <c r="D109" s="4"/>
      <c r="E109" s="4"/>
      <c r="F109" s="4"/>
      <c r="G109" s="4"/>
      <c r="H109" s="121">
        <f t="shared" ref="H109:O109" si="35">SUM(H107:H108)</f>
        <v>387</v>
      </c>
      <c r="I109" s="121">
        <f t="shared" si="35"/>
        <v>415.053</v>
      </c>
      <c r="J109" s="126">
        <f t="shared" si="35"/>
        <v>445.13711999999998</v>
      </c>
      <c r="K109" s="62">
        <f t="shared" si="35"/>
        <v>478.50179579999997</v>
      </c>
      <c r="L109" s="62">
        <f t="shared" si="35"/>
        <v>514.35635432399999</v>
      </c>
      <c r="M109" s="62">
        <f t="shared" si="35"/>
        <v>552.88589224194004</v>
      </c>
      <c r="N109" s="62">
        <f t="shared" si="35"/>
        <v>594.28921933220408</v>
      </c>
      <c r="O109" s="62">
        <f t="shared" si="35"/>
        <v>638.77987134311957</v>
      </c>
    </row>
    <row r="110" spans="1:16" ht="12.95" customHeight="1" x14ac:dyDescent="0.2">
      <c r="B110" s="3" t="s">
        <v>18</v>
      </c>
      <c r="C110" s="3"/>
      <c r="D110" s="3"/>
      <c r="E110" s="3"/>
      <c r="F110" s="3"/>
      <c r="G110" s="3"/>
      <c r="H110" s="120">
        <v>-252.00000000000003</v>
      </c>
      <c r="I110" s="120">
        <v>-270.60300000000001</v>
      </c>
      <c r="J110" s="127">
        <v>-290.57562000000007</v>
      </c>
      <c r="K110" s="62">
        <f>-K107*K131</f>
        <v>-309.26210535000007</v>
      </c>
      <c r="L110" s="62">
        <f>-L107*L131</f>
        <v>-329.14087811100006</v>
      </c>
      <c r="M110" s="62">
        <f>-M107*M131</f>
        <v>-350.28729474232512</v>
      </c>
      <c r="N110" s="62">
        <f>-N107*N131</f>
        <v>-372.78141939929174</v>
      </c>
      <c r="O110" s="62">
        <f>-O107*O131</f>
        <v>-396.70831376399627</v>
      </c>
    </row>
    <row r="111" spans="1:16" ht="12.95" customHeight="1" x14ac:dyDescent="0.2">
      <c r="B111" s="69" t="s">
        <v>25</v>
      </c>
      <c r="C111" s="69"/>
      <c r="D111" s="69"/>
      <c r="E111" s="69"/>
      <c r="F111" s="69"/>
      <c r="G111" s="69"/>
      <c r="H111" s="122">
        <f t="shared" ref="H111:O111" si="36">+SUM(H109:H110)</f>
        <v>134.99999999999997</v>
      </c>
      <c r="I111" s="122">
        <f t="shared" si="36"/>
        <v>144.44999999999999</v>
      </c>
      <c r="J111" s="128">
        <f t="shared" si="36"/>
        <v>154.56149999999991</v>
      </c>
      <c r="K111" s="96">
        <f t="shared" si="36"/>
        <v>169.2396904499999</v>
      </c>
      <c r="L111" s="96">
        <f t="shared" si="36"/>
        <v>185.21547621299993</v>
      </c>
      <c r="M111" s="96">
        <f t="shared" si="36"/>
        <v>202.59859749961493</v>
      </c>
      <c r="N111" s="96">
        <f t="shared" si="36"/>
        <v>221.50779993291235</v>
      </c>
      <c r="O111" s="96">
        <f t="shared" si="36"/>
        <v>242.07155757912329</v>
      </c>
    </row>
    <row r="112" spans="1:16" ht="12.95" customHeight="1" x14ac:dyDescent="0.2">
      <c r="B112" s="4" t="s">
        <v>20</v>
      </c>
      <c r="C112" s="4"/>
      <c r="D112" s="4"/>
      <c r="E112" s="4"/>
      <c r="F112" s="4"/>
      <c r="G112" s="4"/>
      <c r="H112" s="120">
        <v>0</v>
      </c>
      <c r="I112" s="120">
        <v>5.0000000000000001E-3</v>
      </c>
      <c r="J112" s="127">
        <v>7.4999999999999997E-3</v>
      </c>
      <c r="K112" s="62">
        <f ca="1">+K309</f>
        <v>1.6359022574394879</v>
      </c>
      <c r="L112" s="62">
        <f ca="1">+L309</f>
        <v>2.9294552515142764</v>
      </c>
      <c r="M112" s="62">
        <f ca="1">+M309</f>
        <v>4.3146220689914179</v>
      </c>
      <c r="N112" s="62">
        <f ca="1">+N309</f>
        <v>5.8459526505002151</v>
      </c>
      <c r="O112" s="62">
        <f ca="1">+O309</f>
        <v>7.5368705049052416</v>
      </c>
    </row>
    <row r="113" spans="2:15" ht="12.95" customHeight="1" x14ac:dyDescent="0.2">
      <c r="B113" s="3" t="s">
        <v>198</v>
      </c>
      <c r="C113" s="3"/>
      <c r="D113" s="3"/>
      <c r="E113" s="3"/>
      <c r="F113" s="3"/>
      <c r="G113" s="3"/>
      <c r="H113" s="120">
        <v>0</v>
      </c>
      <c r="I113" s="120">
        <v>0</v>
      </c>
      <c r="J113" s="127">
        <v>0</v>
      </c>
      <c r="K113" s="62">
        <f ca="1">-SUM(K320,K42)</f>
        <v>-0.64999999999999991</v>
      </c>
      <c r="L113" s="62">
        <f ca="1">-SUM(L320,L42)</f>
        <v>-0.64999999999999991</v>
      </c>
      <c r="M113" s="62">
        <f ca="1">-SUM(M320,M42)</f>
        <v>-0.65</v>
      </c>
      <c r="N113" s="62">
        <f ca="1">-SUM(N320,N42)</f>
        <v>-0.65</v>
      </c>
      <c r="O113" s="62">
        <f ca="1">-SUM(O320,O42)</f>
        <v>-0.65</v>
      </c>
    </row>
    <row r="114" spans="2:15" ht="12.95" customHeight="1" x14ac:dyDescent="0.2">
      <c r="B114" s="4" t="s">
        <v>26</v>
      </c>
      <c r="C114" s="4"/>
      <c r="D114" s="4"/>
      <c r="E114" s="4"/>
      <c r="F114" s="4"/>
      <c r="G114" s="4"/>
      <c r="H114" s="121">
        <f t="shared" ref="H114:O114" si="37">+SUM(H111:H113)</f>
        <v>134.99999999999997</v>
      </c>
      <c r="I114" s="121">
        <f t="shared" si="37"/>
        <v>144.45499999999998</v>
      </c>
      <c r="J114" s="126">
        <f t="shared" si="37"/>
        <v>154.5689999999999</v>
      </c>
      <c r="K114" s="222">
        <f t="shared" ca="1" si="37"/>
        <v>170.22559270743938</v>
      </c>
      <c r="L114" s="222">
        <f t="shared" ca="1" si="37"/>
        <v>187.4949314645142</v>
      </c>
      <c r="M114" s="222">
        <f t="shared" ca="1" si="37"/>
        <v>206.26321956860633</v>
      </c>
      <c r="N114" s="222">
        <f t="shared" ca="1" si="37"/>
        <v>226.70375258341255</v>
      </c>
      <c r="O114" s="222">
        <f t="shared" ca="1" si="37"/>
        <v>248.95842808402853</v>
      </c>
    </row>
    <row r="115" spans="2:15" ht="12.95" customHeight="1" x14ac:dyDescent="0.2">
      <c r="B115" s="4" t="s">
        <v>22</v>
      </c>
      <c r="C115" s="4"/>
      <c r="D115" s="4"/>
      <c r="E115" s="4"/>
      <c r="F115" s="4"/>
      <c r="G115" s="4"/>
      <c r="H115" s="120">
        <v>-47.249999999999986</v>
      </c>
      <c r="I115" s="120">
        <v>-37.558299999999996</v>
      </c>
      <c r="J115" s="127">
        <v>-40.187939999999976</v>
      </c>
      <c r="K115" s="62">
        <f ca="1">-K114*K134</f>
        <v>-44.258654103934241</v>
      </c>
      <c r="L115" s="62">
        <f ca="1">-L114*L134</f>
        <v>-48.748682180773692</v>
      </c>
      <c r="M115" s="62">
        <f ca="1">-M114*M134</f>
        <v>-53.628437087837646</v>
      </c>
      <c r="N115" s="62">
        <f ca="1">-N114*N134</f>
        <v>-58.942975671687265</v>
      </c>
      <c r="O115" s="62">
        <f ca="1">-O114*O134</f>
        <v>-64.729191301847422</v>
      </c>
    </row>
    <row r="116" spans="2:15" ht="12.95" customHeight="1" x14ac:dyDescent="0.2">
      <c r="B116" s="20" t="s">
        <v>23</v>
      </c>
      <c r="C116" s="21"/>
      <c r="D116" s="21"/>
      <c r="E116" s="21"/>
      <c r="F116" s="21"/>
      <c r="G116" s="21"/>
      <c r="H116" s="122">
        <f t="shared" ref="H116:O116" si="38">+SUM(H114:H115)</f>
        <v>87.749999999999986</v>
      </c>
      <c r="I116" s="122">
        <f t="shared" si="38"/>
        <v>106.89669999999998</v>
      </c>
      <c r="J116" s="128">
        <f t="shared" si="38"/>
        <v>114.38105999999993</v>
      </c>
      <c r="K116" s="234">
        <f t="shared" ca="1" si="38"/>
        <v>125.96693860350513</v>
      </c>
      <c r="L116" s="234">
        <f t="shared" ca="1" si="38"/>
        <v>138.7462492837405</v>
      </c>
      <c r="M116" s="234">
        <f t="shared" ca="1" si="38"/>
        <v>152.63478248076868</v>
      </c>
      <c r="N116" s="234">
        <f t="shared" ca="1" si="38"/>
        <v>167.76077691172529</v>
      </c>
      <c r="O116" s="235">
        <f t="shared" ca="1" si="38"/>
        <v>184.22923678218109</v>
      </c>
    </row>
    <row r="117" spans="2:15" ht="12.95" customHeight="1" x14ac:dyDescent="0.2">
      <c r="B117" s="4"/>
      <c r="C117" s="4"/>
      <c r="D117" s="4"/>
      <c r="E117" s="4"/>
      <c r="F117" s="4"/>
      <c r="G117" s="4"/>
      <c r="H117" s="123"/>
      <c r="I117" s="123"/>
      <c r="J117" s="124"/>
      <c r="K117" s="244"/>
      <c r="L117" s="244"/>
      <c r="M117" s="244"/>
      <c r="N117" s="244"/>
      <c r="O117" s="244"/>
    </row>
    <row r="118" spans="2:15" ht="12.95" customHeight="1" x14ac:dyDescent="0.2">
      <c r="B118" s="2" t="s">
        <v>37</v>
      </c>
      <c r="C118" s="3"/>
      <c r="D118" s="3"/>
      <c r="E118" s="3"/>
      <c r="F118" s="3"/>
      <c r="G118" s="3"/>
      <c r="H118" s="60"/>
      <c r="I118" s="60"/>
      <c r="J118" s="125"/>
      <c r="K118" s="60"/>
      <c r="L118" s="60"/>
      <c r="M118" s="60"/>
      <c r="N118" s="60"/>
      <c r="O118" s="60"/>
    </row>
    <row r="119" spans="2:15" ht="12.95" customHeight="1" x14ac:dyDescent="0.2">
      <c r="B119" s="4" t="s">
        <v>19</v>
      </c>
      <c r="C119" s="4"/>
      <c r="D119" s="4"/>
      <c r="E119" s="4"/>
      <c r="F119" s="4"/>
      <c r="G119" s="4"/>
      <c r="H119" s="121">
        <f t="shared" ref="H119:O119" si="39">+H111</f>
        <v>134.99999999999997</v>
      </c>
      <c r="I119" s="121">
        <f t="shared" si="39"/>
        <v>144.44999999999999</v>
      </c>
      <c r="J119" s="126">
        <f t="shared" si="39"/>
        <v>154.56149999999991</v>
      </c>
      <c r="K119" s="222">
        <f t="shared" si="39"/>
        <v>169.2396904499999</v>
      </c>
      <c r="L119" s="222">
        <f t="shared" si="39"/>
        <v>185.21547621299993</v>
      </c>
      <c r="M119" s="222">
        <f t="shared" si="39"/>
        <v>202.59859749961493</v>
      </c>
      <c r="N119" s="222">
        <f t="shared" si="39"/>
        <v>221.50779993291235</v>
      </c>
      <c r="O119" s="222">
        <f t="shared" si="39"/>
        <v>242.07155757912329</v>
      </c>
    </row>
    <row r="120" spans="2:15" ht="12.95" customHeight="1" x14ac:dyDescent="0.2">
      <c r="B120" s="3" t="s">
        <v>34</v>
      </c>
      <c r="C120" s="3"/>
      <c r="D120" s="3"/>
      <c r="E120" s="3"/>
      <c r="F120" s="3"/>
      <c r="G120" s="3"/>
      <c r="H120" s="120">
        <v>31.500000000000004</v>
      </c>
      <c r="I120" s="120">
        <v>34.668000000000006</v>
      </c>
      <c r="J120" s="127">
        <v>38.125170000000011</v>
      </c>
      <c r="K120" s="62">
        <f>+K136*K107</f>
        <v>41.896470600000008</v>
      </c>
      <c r="L120" s="62">
        <f>+L136*L107</f>
        <v>46.008939951000009</v>
      </c>
      <c r="M120" s="62">
        <f>+M136*M107</f>
        <v>50.491862305200023</v>
      </c>
      <c r="N120" s="62">
        <f>+N136*N107</f>
        <v>55.376949983228123</v>
      </c>
      <c r="O120" s="62">
        <f>+O136*O107</f>
        <v>60.698539810884689</v>
      </c>
    </row>
    <row r="121" spans="2:15" ht="12.95" customHeight="1" x14ac:dyDescent="0.2">
      <c r="B121" s="4" t="s">
        <v>35</v>
      </c>
      <c r="C121" s="4"/>
      <c r="D121" s="4"/>
      <c r="E121" s="4"/>
      <c r="F121" s="4"/>
      <c r="G121" s="4"/>
      <c r="H121" s="121">
        <f t="shared" ref="H121:O121" si="40">SUM(H119:H120)</f>
        <v>166.49999999999997</v>
      </c>
      <c r="I121" s="121">
        <f t="shared" si="40"/>
        <v>179.11799999999999</v>
      </c>
      <c r="J121" s="126">
        <f t="shared" si="40"/>
        <v>192.68666999999994</v>
      </c>
      <c r="K121" s="222">
        <f t="shared" si="40"/>
        <v>211.13616104999991</v>
      </c>
      <c r="L121" s="222">
        <f t="shared" si="40"/>
        <v>231.22441616399993</v>
      </c>
      <c r="M121" s="222">
        <f t="shared" si="40"/>
        <v>253.09045980481494</v>
      </c>
      <c r="N121" s="222">
        <f t="shared" si="40"/>
        <v>276.88474991614049</v>
      </c>
      <c r="O121" s="222">
        <f t="shared" si="40"/>
        <v>302.770097390008</v>
      </c>
    </row>
    <row r="122" spans="2:15" ht="12.95" customHeight="1" x14ac:dyDescent="0.2">
      <c r="B122" s="4" t="s">
        <v>38</v>
      </c>
      <c r="C122" s="4"/>
      <c r="D122" s="4"/>
      <c r="E122" s="4"/>
      <c r="F122" s="4"/>
      <c r="G122" s="4"/>
      <c r="H122" s="120">
        <v>7</v>
      </c>
      <c r="I122" s="120">
        <v>5</v>
      </c>
      <c r="J122" s="127">
        <v>2</v>
      </c>
      <c r="K122" s="120">
        <v>0</v>
      </c>
      <c r="L122" s="120">
        <v>0</v>
      </c>
      <c r="M122" s="120">
        <v>0</v>
      </c>
      <c r="N122" s="120">
        <v>0</v>
      </c>
      <c r="O122" s="120">
        <v>0</v>
      </c>
    </row>
    <row r="123" spans="2:15" s="76" customFormat="1" ht="12.95" customHeight="1" x14ac:dyDescent="0.2">
      <c r="B123" s="20" t="s">
        <v>36</v>
      </c>
      <c r="C123" s="21"/>
      <c r="D123" s="21"/>
      <c r="E123" s="21"/>
      <c r="F123" s="21"/>
      <c r="G123" s="21"/>
      <c r="H123" s="122">
        <f t="shared" ref="H123:O123" si="41">+SUM(H121:H122)</f>
        <v>173.49999999999997</v>
      </c>
      <c r="I123" s="122">
        <f t="shared" si="41"/>
        <v>184.11799999999999</v>
      </c>
      <c r="J123" s="128">
        <f t="shared" si="41"/>
        <v>194.68666999999994</v>
      </c>
      <c r="K123" s="96">
        <f t="shared" si="41"/>
        <v>211.13616104999991</v>
      </c>
      <c r="L123" s="96">
        <f t="shared" si="41"/>
        <v>231.22441616399993</v>
      </c>
      <c r="M123" s="96">
        <f t="shared" si="41"/>
        <v>253.09045980481494</v>
      </c>
      <c r="N123" s="96">
        <f t="shared" si="41"/>
        <v>276.88474991614049</v>
      </c>
      <c r="O123" s="97">
        <f t="shared" si="41"/>
        <v>302.770097390008</v>
      </c>
    </row>
    <row r="124" spans="2:15" ht="12.95" customHeight="1" x14ac:dyDescent="0.2">
      <c r="B124" s="4"/>
      <c r="C124" s="4"/>
      <c r="D124" s="4"/>
      <c r="E124" s="4"/>
      <c r="F124" s="4"/>
      <c r="G124" s="4"/>
      <c r="H124" s="123"/>
      <c r="I124" s="123"/>
      <c r="J124" s="124"/>
      <c r="K124" s="243"/>
      <c r="L124" s="243"/>
      <c r="M124" s="243"/>
      <c r="N124" s="243"/>
      <c r="O124" s="243"/>
    </row>
    <row r="125" spans="2:15" ht="12.95" customHeight="1" x14ac:dyDescent="0.2">
      <c r="B125" s="129" t="s">
        <v>114</v>
      </c>
      <c r="C125" s="4"/>
      <c r="D125" s="4"/>
      <c r="E125" s="4"/>
      <c r="F125" s="4"/>
      <c r="G125" s="4"/>
      <c r="H125" s="60"/>
      <c r="I125" s="60"/>
      <c r="J125" s="125"/>
      <c r="K125" s="60"/>
      <c r="L125" s="60"/>
      <c r="M125" s="60"/>
      <c r="N125" s="60"/>
      <c r="O125" s="60"/>
    </row>
    <row r="126" spans="2:15" ht="12.95" customHeight="1" x14ac:dyDescent="0.2">
      <c r="B126" s="4" t="s">
        <v>71</v>
      </c>
      <c r="C126" s="4"/>
      <c r="D126" s="4"/>
      <c r="E126" s="4"/>
      <c r="F126" s="4"/>
      <c r="G126" s="4"/>
      <c r="H126" s="227">
        <v>36</v>
      </c>
      <c r="I126" s="227">
        <v>39.0015</v>
      </c>
      <c r="J126" s="228">
        <v>42.246810000000004</v>
      </c>
      <c r="K126" s="130">
        <f>+K135*K107</f>
        <v>45.755356050000003</v>
      </c>
      <c r="L126" s="130">
        <f>+L135*L107</f>
        <v>49.548089178000005</v>
      </c>
      <c r="M126" s="130">
        <f>+M135*M107</f>
        <v>53.647603699275017</v>
      </c>
      <c r="N126" s="130">
        <f>+N135*N107</f>
        <v>58.078264616556318</v>
      </c>
      <c r="O126" s="130">
        <f>+O135*O107</f>
        <v>62.866344804130563</v>
      </c>
    </row>
    <row r="127" spans="2:15" ht="12.95" customHeight="1" x14ac:dyDescent="0.2">
      <c r="B127" s="4"/>
      <c r="C127" s="4"/>
      <c r="D127" s="4"/>
      <c r="E127" s="4"/>
      <c r="F127" s="4"/>
      <c r="G127" s="4"/>
      <c r="H127" s="4"/>
      <c r="I127" s="4"/>
      <c r="J127" s="131"/>
      <c r="K127" s="4"/>
      <c r="L127" s="4"/>
      <c r="M127" s="4"/>
      <c r="N127" s="4"/>
      <c r="O127" s="4"/>
    </row>
    <row r="128" spans="2:15" ht="12.95" customHeight="1" x14ac:dyDescent="0.2">
      <c r="B128" s="132" t="s">
        <v>27</v>
      </c>
      <c r="C128" s="3"/>
      <c r="D128" s="3"/>
      <c r="E128" s="3"/>
      <c r="F128" s="3"/>
      <c r="G128" s="3"/>
      <c r="H128" s="3"/>
      <c r="I128" s="3"/>
      <c r="J128" s="133"/>
      <c r="K128" s="3"/>
      <c r="L128" s="3"/>
      <c r="M128" s="3"/>
      <c r="N128" s="3"/>
      <c r="O128" s="3"/>
    </row>
    <row r="129" spans="1:24" s="4" customFormat="1" ht="12.95" customHeight="1" x14ac:dyDescent="0.2">
      <c r="B129" s="4" t="s">
        <v>28</v>
      </c>
      <c r="H129" s="134"/>
      <c r="I129" s="193">
        <f>+I107/H107-1</f>
        <v>7.0000000000000062E-2</v>
      </c>
      <c r="J129" s="194">
        <f>+J107/I107-1</f>
        <v>7.0000000000000062E-2</v>
      </c>
      <c r="K129" s="134">
        <v>7.0000000000000007E-2</v>
      </c>
      <c r="L129" s="134">
        <v>7.0000000000000007E-2</v>
      </c>
      <c r="M129" s="134">
        <v>7.0000000000000007E-2</v>
      </c>
      <c r="N129" s="134">
        <v>7.0000000000000007E-2</v>
      </c>
      <c r="O129" s="134">
        <v>7.0000000000000007E-2</v>
      </c>
    </row>
    <row r="130" spans="1:24" s="4" customFormat="1" ht="12.95" customHeight="1" x14ac:dyDescent="0.2">
      <c r="B130" s="4" t="s">
        <v>29</v>
      </c>
      <c r="H130" s="193">
        <f>+H109/H107</f>
        <v>0.43</v>
      </c>
      <c r="I130" s="193">
        <f>+I109/I107</f>
        <v>0.43099999999999999</v>
      </c>
      <c r="J130" s="194">
        <f>+J109/J107</f>
        <v>0.43199999999999994</v>
      </c>
      <c r="K130" s="134">
        <f>+J130+0.002</f>
        <v>0.43399999999999994</v>
      </c>
      <c r="L130" s="134">
        <f t="shared" ref="L130:O130" si="42">+K130+0.002</f>
        <v>0.43599999999999994</v>
      </c>
      <c r="M130" s="134">
        <f t="shared" si="42"/>
        <v>0.43799999999999994</v>
      </c>
      <c r="N130" s="134">
        <f t="shared" si="42"/>
        <v>0.43999999999999995</v>
      </c>
      <c r="O130" s="134">
        <f t="shared" si="42"/>
        <v>0.44199999999999995</v>
      </c>
    </row>
    <row r="131" spans="1:24" s="4" customFormat="1" ht="12.95" customHeight="1" x14ac:dyDescent="0.2">
      <c r="B131" s="4" t="s">
        <v>116</v>
      </c>
      <c r="H131" s="193">
        <f>-H110/H107</f>
        <v>0.28000000000000003</v>
      </c>
      <c r="I131" s="193">
        <f>-I110/I107</f>
        <v>0.28100000000000003</v>
      </c>
      <c r="J131" s="194">
        <f>-J110/J107</f>
        <v>0.28200000000000003</v>
      </c>
      <c r="K131" s="134">
        <f>+J131-0.0015</f>
        <v>0.28050000000000003</v>
      </c>
      <c r="L131" s="134">
        <f t="shared" ref="L131:O131" si="43">+K131-0.0015</f>
        <v>0.27900000000000003</v>
      </c>
      <c r="M131" s="134">
        <f t="shared" si="43"/>
        <v>0.27750000000000002</v>
      </c>
      <c r="N131" s="134">
        <f t="shared" si="43"/>
        <v>0.27600000000000002</v>
      </c>
      <c r="O131" s="134">
        <f t="shared" si="43"/>
        <v>0.27450000000000002</v>
      </c>
    </row>
    <row r="132" spans="1:24" s="4" customFormat="1" ht="12.95" customHeight="1" x14ac:dyDescent="0.2">
      <c r="B132" s="4" t="s">
        <v>30</v>
      </c>
      <c r="H132" s="135">
        <f t="shared" ref="H132:O132" si="44">+H123/H107</f>
        <v>0.19277777777777774</v>
      </c>
      <c r="I132" s="135">
        <f t="shared" si="44"/>
        <v>0.19119210799584632</v>
      </c>
      <c r="J132" s="136">
        <f t="shared" si="44"/>
        <v>0.18894097495171816</v>
      </c>
      <c r="K132" s="135">
        <f t="shared" si="44"/>
        <v>0.19149999999999992</v>
      </c>
      <c r="L132" s="135">
        <f t="shared" si="44"/>
        <v>0.19599999999999992</v>
      </c>
      <c r="M132" s="135">
        <f t="shared" si="44"/>
        <v>0.2004999999999999</v>
      </c>
      <c r="N132" s="135">
        <f t="shared" si="44"/>
        <v>0.20499999999999993</v>
      </c>
      <c r="O132" s="135">
        <f t="shared" si="44"/>
        <v>0.20949999999999996</v>
      </c>
    </row>
    <row r="133" spans="1:24" s="4" customFormat="1" ht="12.95" customHeight="1" x14ac:dyDescent="0.2">
      <c r="B133" s="4" t="s">
        <v>32</v>
      </c>
      <c r="H133" s="33"/>
      <c r="I133" s="135">
        <f t="shared" ref="I133:O133" si="45">+I123/H123-1</f>
        <v>6.1198847262248002E-2</v>
      </c>
      <c r="J133" s="136">
        <f t="shared" si="45"/>
        <v>5.7401612009689185E-2</v>
      </c>
      <c r="K133" s="135">
        <f t="shared" si="45"/>
        <v>8.4492128043486492E-2</v>
      </c>
      <c r="L133" s="135">
        <f t="shared" si="45"/>
        <v>9.5143603133159393E-2</v>
      </c>
      <c r="M133" s="135">
        <f t="shared" si="45"/>
        <v>9.4566326530612255E-2</v>
      </c>
      <c r="N133" s="135">
        <f t="shared" si="45"/>
        <v>9.4014962593516493E-2</v>
      </c>
      <c r="O133" s="135">
        <f t="shared" si="45"/>
        <v>9.3487804878048975E-2</v>
      </c>
    </row>
    <row r="134" spans="1:24" s="4" customFormat="1" ht="12.95" customHeight="1" x14ac:dyDescent="0.2">
      <c r="B134" s="4" t="s">
        <v>31</v>
      </c>
      <c r="H134" s="193">
        <f>-H115/H114</f>
        <v>0.35</v>
      </c>
      <c r="I134" s="193">
        <f>-I115/I114</f>
        <v>0.26</v>
      </c>
      <c r="J134" s="194">
        <f>-J115/J114</f>
        <v>0.26</v>
      </c>
      <c r="K134" s="134">
        <v>0.26</v>
      </c>
      <c r="L134" s="134">
        <v>0.26</v>
      </c>
      <c r="M134" s="134">
        <v>0.26</v>
      </c>
      <c r="N134" s="134">
        <v>0.26</v>
      </c>
      <c r="O134" s="134">
        <v>0.26</v>
      </c>
    </row>
    <row r="135" spans="1:24" s="4" customFormat="1" ht="12.95" customHeight="1" x14ac:dyDescent="0.2">
      <c r="B135" s="4" t="s">
        <v>117</v>
      </c>
      <c r="H135" s="193">
        <f>+H126/H107</f>
        <v>0.04</v>
      </c>
      <c r="I135" s="193">
        <f>+I126/I107</f>
        <v>4.0500000000000001E-2</v>
      </c>
      <c r="J135" s="194">
        <f>+J126/J107</f>
        <v>4.1000000000000002E-2</v>
      </c>
      <c r="K135" s="134">
        <f>+J135+0.0005</f>
        <v>4.1500000000000002E-2</v>
      </c>
      <c r="L135" s="134">
        <f>+K135+0.0005</f>
        <v>4.2000000000000003E-2</v>
      </c>
      <c r="M135" s="134">
        <f>+L135+0.0005</f>
        <v>4.2500000000000003E-2</v>
      </c>
      <c r="N135" s="134">
        <f>+M135+0.0005</f>
        <v>4.3000000000000003E-2</v>
      </c>
      <c r="O135" s="134">
        <f>+N135+0.0005</f>
        <v>4.3500000000000004E-2</v>
      </c>
    </row>
    <row r="136" spans="1:24" s="4" customFormat="1" ht="12.95" customHeight="1" x14ac:dyDescent="0.2">
      <c r="B136" s="3" t="s">
        <v>115</v>
      </c>
      <c r="C136" s="3"/>
      <c r="D136" s="3"/>
      <c r="E136" s="3"/>
      <c r="F136" s="3"/>
      <c r="G136" s="3"/>
      <c r="H136" s="229">
        <f>+H120/H107</f>
        <v>3.5000000000000003E-2</v>
      </c>
      <c r="I136" s="229">
        <f>+I120/I107</f>
        <v>3.6000000000000004E-2</v>
      </c>
      <c r="J136" s="230">
        <f>+J120/J107</f>
        <v>3.7000000000000005E-2</v>
      </c>
      <c r="K136" s="137">
        <f>+J136+0.001</f>
        <v>3.8000000000000006E-2</v>
      </c>
      <c r="L136" s="137">
        <f>+K136+0.001</f>
        <v>3.9000000000000007E-2</v>
      </c>
      <c r="M136" s="137">
        <f>+L136+0.001</f>
        <v>4.0000000000000008E-2</v>
      </c>
      <c r="N136" s="137">
        <f>+M136+0.001</f>
        <v>4.1000000000000009E-2</v>
      </c>
      <c r="O136" s="137">
        <f>+N136+0.001</f>
        <v>4.200000000000001E-2</v>
      </c>
    </row>
    <row r="137" spans="1:24" ht="12.95" customHeight="1" x14ac:dyDescent="0.2">
      <c r="B137" s="3"/>
      <c r="C137" s="3"/>
      <c r="D137" s="3"/>
      <c r="E137" s="3"/>
      <c r="F137" s="3"/>
      <c r="G137" s="3"/>
      <c r="H137" s="3"/>
      <c r="I137" s="3"/>
      <c r="J137" s="3"/>
      <c r="K137" s="3"/>
      <c r="L137" s="3"/>
      <c r="M137" s="3"/>
      <c r="N137" s="3"/>
      <c r="O137" s="3"/>
    </row>
    <row r="138" spans="1:24" ht="12.95" customHeight="1" x14ac:dyDescent="0.2">
      <c r="A138" s="1" t="s">
        <v>39</v>
      </c>
      <c r="B138" s="50" t="s">
        <v>104</v>
      </c>
      <c r="C138" s="51"/>
      <c r="D138" s="51"/>
      <c r="E138" s="51"/>
      <c r="F138" s="51"/>
      <c r="G138" s="51"/>
      <c r="H138" s="51"/>
      <c r="I138" s="51"/>
      <c r="J138" s="51"/>
      <c r="K138" s="51"/>
      <c r="L138" s="51"/>
      <c r="M138" s="51"/>
      <c r="N138" s="51"/>
      <c r="O138" s="73"/>
    </row>
    <row r="139" spans="1:24" ht="12.95" customHeight="1" x14ac:dyDescent="0.2">
      <c r="H139" s="138"/>
      <c r="I139" s="138"/>
    </row>
    <row r="140" spans="1:24" s="4" customFormat="1" ht="15" x14ac:dyDescent="0.35">
      <c r="E140" s="10" t="str">
        <f>+$K$34</f>
        <v>Fiscal Year Ended 12/31</v>
      </c>
      <c r="F140" s="11"/>
      <c r="G140" s="11"/>
      <c r="H140" s="139" t="s">
        <v>157</v>
      </c>
      <c r="I140" s="140"/>
      <c r="K140" s="10" t="str">
        <f>+$K$34</f>
        <v>Fiscal Year Ended 12/31</v>
      </c>
      <c r="L140" s="11"/>
      <c r="M140" s="11"/>
      <c r="N140" s="11"/>
      <c r="O140" s="11"/>
    </row>
    <row r="141" spans="1:24" s="4" customFormat="1" ht="12.95" customHeight="1" x14ac:dyDescent="0.2">
      <c r="E141" s="74">
        <f>+$H$106</f>
        <v>2017</v>
      </c>
      <c r="F141" s="74">
        <f>+$I$106</f>
        <v>2018</v>
      </c>
      <c r="G141" s="141">
        <f>+$J$106</f>
        <v>2019</v>
      </c>
      <c r="H141" s="142" t="s">
        <v>124</v>
      </c>
      <c r="I141" s="29" t="s">
        <v>125</v>
      </c>
      <c r="J141" s="143" t="s">
        <v>126</v>
      </c>
      <c r="K141" s="13">
        <f>+$K$106</f>
        <v>2020</v>
      </c>
      <c r="L141" s="13">
        <f>+$L$106</f>
        <v>2021</v>
      </c>
      <c r="M141" s="13">
        <f>+$M$106</f>
        <v>2022</v>
      </c>
      <c r="N141" s="13">
        <f>+$N$106</f>
        <v>2023</v>
      </c>
      <c r="O141" s="13">
        <f>+$O$106</f>
        <v>2024</v>
      </c>
    </row>
    <row r="142" spans="1:24" s="4" customFormat="1" ht="12.95" customHeight="1" x14ac:dyDescent="0.2">
      <c r="B142" s="4" t="s">
        <v>40</v>
      </c>
      <c r="E142" s="46">
        <v>0</v>
      </c>
      <c r="F142" s="46">
        <v>0</v>
      </c>
      <c r="G142" s="286">
        <v>100</v>
      </c>
      <c r="H142" s="145"/>
      <c r="I142" s="293"/>
      <c r="J142" s="146">
        <f>+SUM(G142:I142)</f>
        <v>100</v>
      </c>
      <c r="K142" s="221">
        <f ca="1">+J142+K223</f>
        <v>227.18045148789759</v>
      </c>
      <c r="L142" s="221">
        <f ca="1">+K142+L223</f>
        <v>358.71059881495773</v>
      </c>
      <c r="M142" s="221">
        <f ca="1">+L142+M223</f>
        <v>504.21381498332585</v>
      </c>
      <c r="N142" s="221">
        <f ca="1">+M142+N223</f>
        <v>664.97671511671717</v>
      </c>
      <c r="O142" s="221">
        <f ca="1">+N142+O223</f>
        <v>842.39738586433111</v>
      </c>
      <c r="Q142" s="174"/>
      <c r="R142" s="174"/>
      <c r="S142" s="174"/>
      <c r="T142" s="174"/>
      <c r="U142" s="174"/>
      <c r="V142" s="174"/>
      <c r="W142" s="174"/>
      <c r="X142" s="174"/>
    </row>
    <row r="143" spans="1:24" s="4" customFormat="1" ht="12.95" customHeight="1" x14ac:dyDescent="0.2">
      <c r="B143" s="4" t="s">
        <v>41</v>
      </c>
      <c r="E143" s="120">
        <v>77.671232876712338</v>
      </c>
      <c r="F143" s="120">
        <v>81.789041095890411</v>
      </c>
      <c r="G143" s="120">
        <v>86.10275342465755</v>
      </c>
      <c r="H143" s="112"/>
      <c r="J143" s="147">
        <f>+SUM(G143:I143)</f>
        <v>86.10275342465755</v>
      </c>
      <c r="K143" s="62">
        <f>+(K179/365)*K174</f>
        <v>90.619619178082189</v>
      </c>
      <c r="L143" s="62">
        <f>+(L179/365)*L174</f>
        <v>96.962992520547942</v>
      </c>
      <c r="M143" s="62">
        <f>+(M179/365)*M174</f>
        <v>103.75040199698631</v>
      </c>
      <c r="N143" s="62">
        <f>+(N179/365)*N174</f>
        <v>111.01293013677537</v>
      </c>
      <c r="O143" s="62">
        <f>+(O179/365)*O174</f>
        <v>118.78383524634965</v>
      </c>
      <c r="Q143" s="174"/>
      <c r="R143" s="174"/>
      <c r="S143" s="174"/>
      <c r="T143" s="174"/>
      <c r="U143" s="174"/>
      <c r="V143" s="174"/>
      <c r="W143" s="174"/>
      <c r="X143" s="174"/>
    </row>
    <row r="144" spans="1:24" s="4" customFormat="1" ht="12.95" customHeight="1" x14ac:dyDescent="0.2">
      <c r="B144" s="4" t="s">
        <v>42</v>
      </c>
      <c r="E144" s="148">
        <v>51.557788944723619</v>
      </c>
      <c r="F144" s="148">
        <v>55.348181818181828</v>
      </c>
      <c r="G144" s="148">
        <v>59.418566497461953</v>
      </c>
      <c r="H144" s="112"/>
      <c r="J144" s="149">
        <f>+SUM(G144:I144)</f>
        <v>59.418566497461953</v>
      </c>
      <c r="K144" s="35">
        <f>+K175/K180</f>
        <v>63.677235122449005</v>
      </c>
      <c r="L144" s="35">
        <f>+L175/L180</f>
        <v>67.893883130204117</v>
      </c>
      <c r="M144" s="35">
        <f>+M175/M180</f>
        <v>72.388843406944943</v>
      </c>
      <c r="N144" s="35">
        <f>+N175/N180</f>
        <v>77.180418095091483</v>
      </c>
      <c r="O144" s="35">
        <f>+O175/O180</f>
        <v>82.288107906884505</v>
      </c>
      <c r="Q144" s="174"/>
      <c r="R144" s="174"/>
      <c r="S144" s="174"/>
      <c r="T144" s="174"/>
      <c r="U144" s="174"/>
      <c r="V144" s="174"/>
      <c r="W144" s="174"/>
      <c r="X144" s="174"/>
    </row>
    <row r="145" spans="2:24" s="4" customFormat="1" ht="12.95" customHeight="1" x14ac:dyDescent="0.2">
      <c r="B145" s="3" t="s">
        <v>43</v>
      </c>
      <c r="C145" s="3"/>
      <c r="D145" s="3"/>
      <c r="E145" s="151">
        <v>26.099999999999998</v>
      </c>
      <c r="F145" s="151">
        <v>26.963999999999999</v>
      </c>
      <c r="G145" s="151">
        <v>27.821069999999999</v>
      </c>
      <c r="H145" s="115"/>
      <c r="I145" s="3"/>
      <c r="J145" s="152">
        <f>+SUM(G145:I145)</f>
        <v>27.821069999999999</v>
      </c>
      <c r="K145" s="66">
        <f>+K181*K174</f>
        <v>28.666006199999998</v>
      </c>
      <c r="L145" s="66">
        <f>+L181*L174</f>
        <v>30.672626633999997</v>
      </c>
      <c r="M145" s="66">
        <f>+M181*M174</f>
        <v>32.819710498380005</v>
      </c>
      <c r="N145" s="66">
        <f>+N181*N174</f>
        <v>35.117090233266602</v>
      </c>
      <c r="O145" s="66">
        <f>+O181*O174</f>
        <v>37.575286549595269</v>
      </c>
      <c r="Q145" s="174"/>
      <c r="R145" s="174"/>
      <c r="S145" s="174"/>
      <c r="T145" s="174"/>
      <c r="U145" s="174"/>
      <c r="V145" s="174"/>
      <c r="W145" s="174"/>
      <c r="X145" s="174"/>
    </row>
    <row r="146" spans="2:24" s="69" customFormat="1" ht="12.95" customHeight="1" x14ac:dyDescent="0.2">
      <c r="B146" s="69" t="s">
        <v>62</v>
      </c>
      <c r="E146" s="154">
        <f>+SUM(E142:E145)</f>
        <v>155.32902182143596</v>
      </c>
      <c r="F146" s="154">
        <f>+SUM(F142:F145)</f>
        <v>164.10122291407225</v>
      </c>
      <c r="G146" s="155">
        <f>+SUM(G142:G145)</f>
        <v>273.34238992211954</v>
      </c>
      <c r="H146" s="156"/>
      <c r="J146" s="157">
        <f t="shared" ref="J146:O146" si="46">+SUM(J142:J145)</f>
        <v>273.34238992211954</v>
      </c>
      <c r="K146" s="238">
        <f t="shared" ca="1" si="46"/>
        <v>410.14331198842876</v>
      </c>
      <c r="L146" s="238">
        <f t="shared" ca="1" si="46"/>
        <v>554.24010109970982</v>
      </c>
      <c r="M146" s="238">
        <f t="shared" ca="1" si="46"/>
        <v>713.17277088563708</v>
      </c>
      <c r="N146" s="238">
        <f t="shared" ca="1" si="46"/>
        <v>888.28715358185059</v>
      </c>
      <c r="O146" s="238">
        <f t="shared" ca="1" si="46"/>
        <v>1081.0446155671607</v>
      </c>
      <c r="Q146" s="174"/>
      <c r="R146" s="174"/>
      <c r="S146" s="174"/>
      <c r="T146" s="174"/>
      <c r="U146" s="174"/>
      <c r="V146" s="174"/>
      <c r="W146" s="174"/>
      <c r="X146" s="174"/>
    </row>
    <row r="147" spans="2:24" s="4" customFormat="1" ht="12.95" customHeight="1" x14ac:dyDescent="0.2">
      <c r="G147" s="131"/>
      <c r="H147" s="112"/>
      <c r="J147" s="107"/>
      <c r="K147" s="239"/>
      <c r="L147" s="239"/>
      <c r="M147" s="239"/>
      <c r="N147" s="239"/>
      <c r="O147" s="239"/>
      <c r="Q147" s="174"/>
      <c r="R147" s="174"/>
      <c r="S147" s="174"/>
      <c r="T147" s="174"/>
      <c r="U147" s="174"/>
      <c r="V147" s="174"/>
      <c r="W147" s="174"/>
      <c r="X147" s="174"/>
    </row>
    <row r="148" spans="2:24" s="4" customFormat="1" ht="12.95" customHeight="1" x14ac:dyDescent="0.2">
      <c r="B148" s="4" t="s">
        <v>44</v>
      </c>
      <c r="E148" s="148">
        <v>144.5</v>
      </c>
      <c r="F148" s="148">
        <v>148.83349999999999</v>
      </c>
      <c r="G148" s="158">
        <v>152.95513999999997</v>
      </c>
      <c r="J148" s="149">
        <f>+SUM(G148:I148)</f>
        <v>152.95513999999997</v>
      </c>
      <c r="K148" s="35">
        <f>+J148+K126-K120</f>
        <v>156.81402544999995</v>
      </c>
      <c r="L148" s="35">
        <f>+K148+L126-L120</f>
        <v>160.35317467699994</v>
      </c>
      <c r="M148" s="35">
        <f>+L148+M126-M120</f>
        <v>163.50891607107494</v>
      </c>
      <c r="N148" s="35">
        <f>+M148+N126-N120</f>
        <v>166.21023070440313</v>
      </c>
      <c r="O148" s="35">
        <f>+N148+O126-O120</f>
        <v>168.37803569764901</v>
      </c>
      <c r="Q148" s="174"/>
      <c r="R148" s="174"/>
      <c r="S148" s="174"/>
      <c r="T148" s="174"/>
      <c r="U148" s="174"/>
      <c r="V148" s="174"/>
      <c r="W148" s="174"/>
      <c r="X148" s="174"/>
    </row>
    <row r="149" spans="2:24" s="4" customFormat="1" ht="12.95" customHeight="1" x14ac:dyDescent="0.2">
      <c r="B149" s="4" t="s">
        <v>45</v>
      </c>
      <c r="E149" s="159">
        <v>0</v>
      </c>
      <c r="F149" s="159">
        <v>0</v>
      </c>
      <c r="G149" s="160">
        <v>0</v>
      </c>
      <c r="H149" s="35">
        <f>+E31</f>
        <v>-163.117577826229</v>
      </c>
      <c r="J149" s="149">
        <f>+SUM(G149:I149)</f>
        <v>-163.117577826229</v>
      </c>
      <c r="K149" s="35">
        <f>+J149</f>
        <v>-163.117577826229</v>
      </c>
      <c r="L149" s="35">
        <f>+K149</f>
        <v>-163.117577826229</v>
      </c>
      <c r="M149" s="35">
        <f>+L149</f>
        <v>-163.117577826229</v>
      </c>
      <c r="N149" s="35">
        <f>+M149</f>
        <v>-163.117577826229</v>
      </c>
      <c r="O149" s="35">
        <f>+N149</f>
        <v>-163.117577826229</v>
      </c>
      <c r="Q149" s="174"/>
      <c r="R149" s="174"/>
      <c r="S149" s="174"/>
      <c r="T149" s="174"/>
      <c r="U149" s="174"/>
      <c r="V149" s="174"/>
      <c r="W149" s="174"/>
      <c r="X149" s="174"/>
    </row>
    <row r="150" spans="2:24" s="4" customFormat="1" ht="12.95" customHeight="1" x14ac:dyDescent="0.2">
      <c r="B150" s="4" t="s">
        <v>145</v>
      </c>
      <c r="E150" s="159">
        <v>0</v>
      </c>
      <c r="F150" s="159">
        <v>0</v>
      </c>
      <c r="G150" s="160">
        <v>0</v>
      </c>
      <c r="H150" s="35">
        <f>+M52</f>
        <v>2</v>
      </c>
      <c r="J150" s="149">
        <f>+SUM(G150:I150)</f>
        <v>2</v>
      </c>
      <c r="K150" s="35">
        <f>+K41</f>
        <v>1.6</v>
      </c>
      <c r="L150" s="35">
        <f>+L41</f>
        <v>1.2000000000000002</v>
      </c>
      <c r="M150" s="35">
        <f>+M41</f>
        <v>0.80000000000000016</v>
      </c>
      <c r="N150" s="35">
        <f>+N41</f>
        <v>0.40000000000000013</v>
      </c>
      <c r="O150" s="35">
        <f>+O41</f>
        <v>1.1102230246251565E-16</v>
      </c>
      <c r="Q150" s="174"/>
      <c r="R150" s="174"/>
      <c r="S150" s="174"/>
      <c r="T150" s="174"/>
      <c r="U150" s="174"/>
      <c r="V150" s="174"/>
      <c r="W150" s="174"/>
      <c r="X150" s="174"/>
    </row>
    <row r="151" spans="2:24" s="4" customFormat="1" ht="12.95" customHeight="1" x14ac:dyDescent="0.2">
      <c r="B151" s="4" t="s">
        <v>56</v>
      </c>
      <c r="E151" s="148">
        <v>22.5</v>
      </c>
      <c r="F151" s="148">
        <v>28.89</v>
      </c>
      <c r="G151" s="158">
        <v>36.064350000000005</v>
      </c>
      <c r="J151" s="149">
        <f>+SUM(G151:I151)</f>
        <v>36.064350000000005</v>
      </c>
      <c r="K151" s="35">
        <f>+K182*K174</f>
        <v>44.101548000000001</v>
      </c>
      <c r="L151" s="35">
        <f>+L182*L174</f>
        <v>47.188656360000003</v>
      </c>
      <c r="M151" s="35">
        <f>+M182*M174</f>
        <v>50.491862305200016</v>
      </c>
      <c r="N151" s="35">
        <f>+N182*N174</f>
        <v>54.026292666564018</v>
      </c>
      <c r="O151" s="35">
        <f>+O182*O174</f>
        <v>57.808133153223501</v>
      </c>
      <c r="Q151" s="174"/>
      <c r="R151" s="174"/>
      <c r="S151" s="174"/>
      <c r="T151" s="174"/>
      <c r="U151" s="174"/>
      <c r="V151" s="174"/>
      <c r="W151" s="174"/>
      <c r="X151" s="174"/>
    </row>
    <row r="152" spans="2:24" s="4" customFormat="1" ht="12.95" customHeight="1" x14ac:dyDescent="0.2">
      <c r="B152" s="20" t="s">
        <v>46</v>
      </c>
      <c r="C152" s="21"/>
      <c r="D152" s="21"/>
      <c r="E152" s="161">
        <f>+SUM(E146:E151)</f>
        <v>322.32902182143596</v>
      </c>
      <c r="F152" s="161">
        <f>+SUM(F146:F151)</f>
        <v>341.82472291407225</v>
      </c>
      <c r="G152" s="162">
        <f>+SUM(G146:G151)</f>
        <v>462.3618799221195</v>
      </c>
      <c r="H152" s="17"/>
      <c r="I152" s="18"/>
      <c r="J152" s="163">
        <f t="shared" ref="J152:O152" si="47">+SUM(J146:J151)</f>
        <v>301.24430209589048</v>
      </c>
      <c r="K152" s="240">
        <f t="shared" ca="1" si="47"/>
        <v>449.54130761219972</v>
      </c>
      <c r="L152" s="240">
        <f t="shared" ca="1" si="47"/>
        <v>599.86435431048085</v>
      </c>
      <c r="M152" s="240">
        <f t="shared" ca="1" si="47"/>
        <v>764.85597143568305</v>
      </c>
      <c r="N152" s="240">
        <f t="shared" ca="1" si="47"/>
        <v>945.80609912658872</v>
      </c>
      <c r="O152" s="241">
        <f t="shared" ca="1" si="47"/>
        <v>1144.1132065918041</v>
      </c>
      <c r="Q152" s="174"/>
      <c r="R152" s="174"/>
      <c r="S152" s="174"/>
      <c r="T152" s="174"/>
      <c r="U152" s="174"/>
      <c r="V152" s="174"/>
      <c r="W152" s="174"/>
      <c r="X152" s="174"/>
    </row>
    <row r="153" spans="2:24" s="4" customFormat="1" ht="12.95" customHeight="1" x14ac:dyDescent="0.2">
      <c r="G153" s="131"/>
      <c r="H153" s="112"/>
      <c r="J153" s="107"/>
      <c r="Q153" s="174"/>
      <c r="R153" s="174"/>
      <c r="S153" s="174"/>
      <c r="T153" s="174"/>
      <c r="U153" s="174"/>
      <c r="V153" s="174"/>
      <c r="W153" s="174"/>
      <c r="X153" s="174"/>
    </row>
    <row r="154" spans="2:24" s="4" customFormat="1" ht="12.95" customHeight="1" x14ac:dyDescent="0.2">
      <c r="B154" s="4" t="s">
        <v>47</v>
      </c>
      <c r="E154" s="148">
        <v>36.893835616438352</v>
      </c>
      <c r="F154" s="148">
        <v>41.283678082191777</v>
      </c>
      <c r="G154" s="158">
        <v>46.100261095890417</v>
      </c>
      <c r="J154" s="149">
        <f>+SUM(G154:I154)</f>
        <v>46.100261095890417</v>
      </c>
      <c r="K154" s="35">
        <f>+(K184/365)*K175</f>
        <v>51.290704454794529</v>
      </c>
      <c r="L154" s="35">
        <f>+(L184/365)*L175</f>
        <v>54.687127781589048</v>
      </c>
      <c r="M154" s="35">
        <f>+(M184/365)*M175</f>
        <v>58.307725922306318</v>
      </c>
      <c r="N154" s="35">
        <f>+(N184/365)*N175</f>
        <v>62.167240876594207</v>
      </c>
      <c r="O154" s="35">
        <f>+(O184/365)*O175</f>
        <v>66.281380067463104</v>
      </c>
      <c r="Q154" s="174"/>
      <c r="R154" s="174"/>
      <c r="S154" s="174"/>
      <c r="T154" s="174"/>
      <c r="U154" s="174"/>
      <c r="V154" s="174"/>
      <c r="W154" s="174"/>
      <c r="X154" s="174"/>
    </row>
    <row r="155" spans="2:24" s="4" customFormat="1" ht="12.95" customHeight="1" x14ac:dyDescent="0.2">
      <c r="B155" s="4" t="s">
        <v>48</v>
      </c>
      <c r="E155" s="148">
        <v>39.78</v>
      </c>
      <c r="F155" s="148">
        <v>44.201700000000002</v>
      </c>
      <c r="G155" s="158">
        <v>49.047516000000016</v>
      </c>
      <c r="J155" s="149">
        <f>+SUM(G155:I155)</f>
        <v>49.047516000000016</v>
      </c>
      <c r="K155" s="35">
        <f>+SUM(K175:K176)*K185</f>
        <v>54.131342553900019</v>
      </c>
      <c r="L155" s="35">
        <f>+SUM(L175:L176)*L185</f>
        <v>57.681054101646026</v>
      </c>
      <c r="M155" s="35">
        <f>+SUM(M175:M176)*M185</f>
        <v>61.462481687562359</v>
      </c>
      <c r="N155" s="35">
        <f>+SUM(N175:N176)*N185</f>
        <v>65.490671970408911</v>
      </c>
      <c r="O155" s="35">
        <f>+SUM(O175:O176)*O185</f>
        <v>69.781642732584942</v>
      </c>
      <c r="Q155" s="174"/>
      <c r="R155" s="174"/>
      <c r="S155" s="174"/>
      <c r="T155" s="174"/>
      <c r="U155" s="174"/>
      <c r="V155" s="174"/>
      <c r="W155" s="174"/>
      <c r="X155" s="174"/>
    </row>
    <row r="156" spans="2:24" s="4" customFormat="1" ht="12.95" customHeight="1" x14ac:dyDescent="0.2">
      <c r="B156" s="3" t="s">
        <v>49</v>
      </c>
      <c r="C156" s="3"/>
      <c r="D156" s="3"/>
      <c r="E156" s="151">
        <v>24.75</v>
      </c>
      <c r="F156" s="151">
        <v>33.705000000000005</v>
      </c>
      <c r="G156" s="158">
        <v>43.792425000000009</v>
      </c>
      <c r="H156" s="3"/>
      <c r="I156" s="3"/>
      <c r="J156" s="152">
        <f>+SUM(G156:I156)</f>
        <v>43.792425000000009</v>
      </c>
      <c r="K156" s="66">
        <f>+K174*K186</f>
        <v>55.126935000000003</v>
      </c>
      <c r="L156" s="66">
        <f>+L174*L186</f>
        <v>58.985820450000006</v>
      </c>
      <c r="M156" s="66">
        <f>+M174*M186</f>
        <v>63.11482788150002</v>
      </c>
      <c r="N156" s="66">
        <f>+N174*N186</f>
        <v>67.532865833205022</v>
      </c>
      <c r="O156" s="66">
        <f>+O174*O186</f>
        <v>72.260166441529378</v>
      </c>
      <c r="Q156" s="174"/>
      <c r="R156" s="174"/>
      <c r="S156" s="174"/>
      <c r="T156" s="174"/>
      <c r="U156" s="174"/>
      <c r="V156" s="174"/>
      <c r="W156" s="174"/>
      <c r="X156" s="174"/>
    </row>
    <row r="157" spans="2:24" s="4" customFormat="1" ht="12.95" customHeight="1" x14ac:dyDescent="0.2">
      <c r="B157" s="69" t="s">
        <v>61</v>
      </c>
      <c r="C157" s="69"/>
      <c r="D157" s="69"/>
      <c r="E157" s="154">
        <f>SUM(E154:E156)</f>
        <v>101.42383561643835</v>
      </c>
      <c r="F157" s="154">
        <f>SUM(F154:F156)</f>
        <v>119.19037808219178</v>
      </c>
      <c r="G157" s="164">
        <f>SUM(G154:G156)</f>
        <v>138.94020209589044</v>
      </c>
      <c r="H157" s="112"/>
      <c r="J157" s="157">
        <f t="shared" ref="J157:O157" si="48">SUM(J154:J156)</f>
        <v>138.94020209589044</v>
      </c>
      <c r="K157" s="242">
        <f t="shared" si="48"/>
        <v>160.54898200869457</v>
      </c>
      <c r="L157" s="238">
        <f t="shared" si="48"/>
        <v>171.35400233323509</v>
      </c>
      <c r="M157" s="238">
        <f t="shared" si="48"/>
        <v>182.88503549136868</v>
      </c>
      <c r="N157" s="238">
        <f t="shared" si="48"/>
        <v>195.19077868020815</v>
      </c>
      <c r="O157" s="238">
        <f t="shared" si="48"/>
        <v>208.32318924157741</v>
      </c>
      <c r="Q157" s="174"/>
      <c r="R157" s="174"/>
      <c r="S157" s="174"/>
      <c r="T157" s="174"/>
      <c r="U157" s="174"/>
      <c r="V157" s="174"/>
      <c r="W157" s="174"/>
      <c r="X157" s="174"/>
    </row>
    <row r="158" spans="2:24" s="4" customFormat="1" ht="12.95" customHeight="1" x14ac:dyDescent="0.2">
      <c r="G158" s="131"/>
      <c r="H158" s="112"/>
      <c r="J158" s="107"/>
      <c r="Q158" s="174"/>
      <c r="R158" s="174"/>
      <c r="S158" s="174"/>
      <c r="T158" s="174"/>
      <c r="U158" s="174"/>
      <c r="V158" s="174"/>
      <c r="W158" s="174"/>
      <c r="X158" s="174"/>
    </row>
    <row r="159" spans="2:24" s="4" customFormat="1" ht="12.95" customHeight="1" x14ac:dyDescent="0.2">
      <c r="B159" s="4" t="s">
        <v>57</v>
      </c>
      <c r="E159" s="148">
        <v>9</v>
      </c>
      <c r="F159" s="148">
        <v>9.6300000000000008</v>
      </c>
      <c r="G159" s="158">
        <v>10.304100000000002</v>
      </c>
      <c r="J159" s="149">
        <f>+SUM(G159:I159)</f>
        <v>10.304100000000002</v>
      </c>
      <c r="K159" s="35">
        <f>+K174*K187</f>
        <v>11.025387</v>
      </c>
      <c r="L159" s="35">
        <f>+L174*L187</f>
        <v>11.797164090000001</v>
      </c>
      <c r="M159" s="35">
        <f>+M174*M187</f>
        <v>12.622965576300004</v>
      </c>
      <c r="N159" s="35">
        <f>+N174*N187</f>
        <v>13.506573166641004</v>
      </c>
      <c r="O159" s="35">
        <f>+O174*O187</f>
        <v>14.452033288305875</v>
      </c>
      <c r="Q159" s="174"/>
      <c r="R159" s="174"/>
      <c r="S159" s="174"/>
      <c r="T159" s="174"/>
      <c r="U159" s="174"/>
      <c r="V159" s="174"/>
      <c r="W159" s="174"/>
      <c r="X159" s="174"/>
    </row>
    <row r="160" spans="2:24" s="4" customFormat="1" ht="12.95" customHeight="1" x14ac:dyDescent="0.2">
      <c r="E160" s="52"/>
      <c r="F160" s="52"/>
      <c r="G160" s="165"/>
      <c r="H160" s="112"/>
      <c r="J160" s="166"/>
      <c r="Q160" s="174"/>
      <c r="R160" s="174"/>
      <c r="S160" s="174"/>
      <c r="T160" s="174"/>
      <c r="U160" s="174"/>
      <c r="V160" s="174"/>
      <c r="W160" s="174"/>
      <c r="X160" s="174"/>
    </row>
    <row r="161" spans="2:24" s="4" customFormat="1" ht="12.95" customHeight="1" x14ac:dyDescent="0.2">
      <c r="B161" s="4" t="s">
        <v>146</v>
      </c>
      <c r="E161" s="148">
        <v>0</v>
      </c>
      <c r="F161" s="148">
        <v>0</v>
      </c>
      <c r="G161" s="285">
        <v>150</v>
      </c>
      <c r="H161" s="112"/>
      <c r="I161" s="288"/>
      <c r="J161" s="149">
        <f>+SUM(G161:I161)</f>
        <v>150</v>
      </c>
      <c r="K161" s="260">
        <f>+J161</f>
        <v>150</v>
      </c>
      <c r="L161" s="260">
        <f>+K161</f>
        <v>150</v>
      </c>
      <c r="M161" s="260">
        <f>+L161</f>
        <v>150</v>
      </c>
      <c r="N161" s="260">
        <f>+M161</f>
        <v>150</v>
      </c>
      <c r="O161" s="260">
        <f>+N161</f>
        <v>150</v>
      </c>
      <c r="Q161" s="174"/>
      <c r="R161" s="174"/>
      <c r="S161" s="174"/>
      <c r="T161" s="174"/>
      <c r="U161" s="174"/>
      <c r="V161" s="174"/>
      <c r="W161" s="174"/>
      <c r="X161" s="174"/>
    </row>
    <row r="162" spans="2:24" s="4" customFormat="1" ht="12.95" customHeight="1" x14ac:dyDescent="0.2">
      <c r="B162" s="4" t="str">
        <f>+B51</f>
        <v>Revolving Credit Facility</v>
      </c>
      <c r="E162" s="148">
        <v>0</v>
      </c>
      <c r="F162" s="148">
        <v>0</v>
      </c>
      <c r="G162" s="158">
        <v>0</v>
      </c>
      <c r="H162" s="90">
        <f>+F51</f>
        <v>0</v>
      </c>
      <c r="J162" s="149">
        <f>+SUM(G162:I162)</f>
        <v>0</v>
      </c>
      <c r="K162" s="35">
        <f ca="1">+K259</f>
        <v>0</v>
      </c>
      <c r="L162" s="35">
        <f ca="1">+L259</f>
        <v>0</v>
      </c>
      <c r="M162" s="35">
        <f ca="1">+M259</f>
        <v>0</v>
      </c>
      <c r="N162" s="35">
        <f ca="1">+N259</f>
        <v>0</v>
      </c>
      <c r="O162" s="35">
        <f ca="1">+O259</f>
        <v>0</v>
      </c>
      <c r="Q162" s="174"/>
      <c r="R162" s="174"/>
      <c r="S162" s="174"/>
      <c r="T162" s="174"/>
      <c r="U162" s="174"/>
      <c r="V162" s="174"/>
      <c r="W162" s="174"/>
      <c r="X162" s="174"/>
    </row>
    <row r="163" spans="2:24" s="4" customFormat="1" ht="12.95" customHeight="1" x14ac:dyDescent="0.2">
      <c r="B163" s="4" t="str">
        <f>+B52</f>
        <v>First Lien Term Loan</v>
      </c>
      <c r="E163" s="148">
        <v>0</v>
      </c>
      <c r="F163" s="148">
        <v>0</v>
      </c>
      <c r="G163" s="158">
        <v>0</v>
      </c>
      <c r="H163" s="90">
        <f>+F52</f>
        <v>0</v>
      </c>
      <c r="J163" s="149">
        <f>+SUM(G163:I163)</f>
        <v>0</v>
      </c>
      <c r="K163" s="35">
        <f ca="1">+K273</f>
        <v>0</v>
      </c>
      <c r="L163" s="35">
        <f ca="1">+L273</f>
        <v>0</v>
      </c>
      <c r="M163" s="35">
        <f ca="1">+M273</f>
        <v>0</v>
      </c>
      <c r="N163" s="35">
        <f ca="1">+N273</f>
        <v>0</v>
      </c>
      <c r="O163" s="35">
        <f ca="1">+O273</f>
        <v>0</v>
      </c>
      <c r="Q163" s="174"/>
      <c r="R163" s="174"/>
      <c r="S163" s="174"/>
      <c r="T163" s="174"/>
      <c r="U163" s="174"/>
      <c r="V163" s="174"/>
      <c r="W163" s="174"/>
      <c r="X163" s="174"/>
    </row>
    <row r="164" spans="2:24" s="4" customFormat="1" ht="12.95" customHeight="1" x14ac:dyDescent="0.2">
      <c r="B164" s="4" t="str">
        <f>+B53</f>
        <v>Second Lien Term Loan</v>
      </c>
      <c r="E164" s="148">
        <v>0</v>
      </c>
      <c r="F164" s="148">
        <v>0</v>
      </c>
      <c r="G164" s="158">
        <v>0</v>
      </c>
      <c r="H164" s="90">
        <f>+F53</f>
        <v>0</v>
      </c>
      <c r="J164" s="149">
        <f>+SUM(G164:I164)</f>
        <v>0</v>
      </c>
      <c r="K164" s="35">
        <f ca="1">+K284</f>
        <v>0</v>
      </c>
      <c r="L164" s="35">
        <f ca="1">+L284</f>
        <v>0</v>
      </c>
      <c r="M164" s="35">
        <f ca="1">+M284</f>
        <v>0</v>
      </c>
      <c r="N164" s="35">
        <f ca="1">+N284</f>
        <v>0</v>
      </c>
      <c r="O164" s="35">
        <f ca="1">+O284</f>
        <v>0</v>
      </c>
      <c r="Q164" s="174"/>
      <c r="R164" s="174"/>
      <c r="S164" s="174"/>
      <c r="T164" s="174"/>
      <c r="U164" s="174"/>
      <c r="V164" s="174"/>
      <c r="W164" s="174"/>
      <c r="X164" s="174"/>
    </row>
    <row r="165" spans="2:24" s="4" customFormat="1" ht="12.95" customHeight="1" x14ac:dyDescent="0.2">
      <c r="B165" s="3" t="str">
        <f>+B54</f>
        <v>Notes</v>
      </c>
      <c r="C165" s="3"/>
      <c r="D165" s="3"/>
      <c r="E165" s="151">
        <v>0</v>
      </c>
      <c r="F165" s="151">
        <v>0</v>
      </c>
      <c r="G165" s="300">
        <v>0</v>
      </c>
      <c r="H165" s="169">
        <f>+F54</f>
        <v>0</v>
      </c>
      <c r="I165" s="3"/>
      <c r="J165" s="152">
        <f>+SUM(G165:I165)</f>
        <v>0</v>
      </c>
      <c r="K165" s="66">
        <f ca="1">+K294</f>
        <v>0</v>
      </c>
      <c r="L165" s="66">
        <f ca="1">+L294</f>
        <v>0</v>
      </c>
      <c r="M165" s="66">
        <f ca="1">+M294</f>
        <v>0</v>
      </c>
      <c r="N165" s="66">
        <f ca="1">+N294</f>
        <v>0</v>
      </c>
      <c r="O165" s="66">
        <f ca="1">+O294</f>
        <v>0</v>
      </c>
      <c r="Q165" s="174"/>
      <c r="R165" s="174"/>
      <c r="S165" s="174"/>
      <c r="T165" s="174"/>
      <c r="U165" s="174"/>
      <c r="V165" s="174"/>
      <c r="W165" s="174"/>
      <c r="X165" s="174"/>
    </row>
    <row r="166" spans="2:24" s="69" customFormat="1" ht="12.95" customHeight="1" x14ac:dyDescent="0.2">
      <c r="B166" s="69" t="s">
        <v>50</v>
      </c>
      <c r="E166" s="154">
        <f>+SUM(E161:E165)</f>
        <v>0</v>
      </c>
      <c r="F166" s="154">
        <f>+SUM(F161:F165)</f>
        <v>0</v>
      </c>
      <c r="G166" s="155">
        <f>+SUM(G161:G165)</f>
        <v>150</v>
      </c>
      <c r="H166" s="156"/>
      <c r="J166" s="157">
        <f t="shared" ref="J166:O166" si="49">+SUM(J161:J165)</f>
        <v>150</v>
      </c>
      <c r="K166" s="238">
        <f t="shared" ca="1" si="49"/>
        <v>150</v>
      </c>
      <c r="L166" s="238">
        <f t="shared" ca="1" si="49"/>
        <v>150</v>
      </c>
      <c r="M166" s="238">
        <f t="shared" ca="1" si="49"/>
        <v>150</v>
      </c>
      <c r="N166" s="238">
        <f t="shared" ca="1" si="49"/>
        <v>150</v>
      </c>
      <c r="O166" s="238">
        <f t="shared" ca="1" si="49"/>
        <v>150</v>
      </c>
      <c r="Q166" s="174"/>
      <c r="R166" s="174"/>
      <c r="S166" s="174"/>
      <c r="T166" s="174"/>
      <c r="U166" s="174"/>
      <c r="V166" s="174"/>
      <c r="W166" s="174"/>
      <c r="X166" s="174"/>
    </row>
    <row r="167" spans="2:24" s="4" customFormat="1" ht="12.95" customHeight="1" x14ac:dyDescent="0.2">
      <c r="G167" s="131"/>
      <c r="H167" s="112"/>
      <c r="J167" s="107"/>
      <c r="Q167" s="174"/>
      <c r="R167" s="174"/>
      <c r="S167" s="174"/>
      <c r="T167" s="174"/>
      <c r="U167" s="174"/>
      <c r="V167" s="174"/>
      <c r="W167" s="174"/>
      <c r="X167" s="174"/>
    </row>
    <row r="168" spans="2:24" s="4" customFormat="1" ht="12.95" customHeight="1" x14ac:dyDescent="0.2">
      <c r="B168" s="4" t="s">
        <v>183</v>
      </c>
      <c r="E168" s="148">
        <v>211.90518620499765</v>
      </c>
      <c r="F168" s="148">
        <v>213.00434483188047</v>
      </c>
      <c r="G168" s="158">
        <v>163.117577826229</v>
      </c>
      <c r="H168" s="35">
        <f>+F55</f>
        <v>2</v>
      </c>
      <c r="I168" s="35">
        <f>-G168-M53</f>
        <v>-163.117577826229</v>
      </c>
      <c r="J168" s="149">
        <f>+SUM(G168:I168)</f>
        <v>2</v>
      </c>
      <c r="K168" s="35">
        <f ca="1">+J168+K116</f>
        <v>127.96693860350513</v>
      </c>
      <c r="L168" s="35">
        <f ca="1">+K168+L116</f>
        <v>266.71318788724562</v>
      </c>
      <c r="M168" s="35">
        <f ca="1">+L168+M116</f>
        <v>419.34797036801433</v>
      </c>
      <c r="N168" s="35">
        <f ca="1">+M168+N116</f>
        <v>587.10874727973965</v>
      </c>
      <c r="O168" s="35">
        <f ca="1">+N168+O116</f>
        <v>771.33798406192068</v>
      </c>
      <c r="Q168" s="174"/>
      <c r="R168" s="174"/>
      <c r="S168" s="174"/>
      <c r="T168" s="174"/>
      <c r="U168" s="174"/>
      <c r="V168" s="174"/>
      <c r="W168" s="174"/>
      <c r="X168" s="174"/>
    </row>
    <row r="169" spans="2:24" s="69" customFormat="1" ht="12.95" customHeight="1" x14ac:dyDescent="0.2">
      <c r="B169" s="20" t="s">
        <v>51</v>
      </c>
      <c r="C169" s="21"/>
      <c r="D169" s="21"/>
      <c r="E169" s="172">
        <f>+SUM(E157,E159,E166,E168)</f>
        <v>322.32902182143602</v>
      </c>
      <c r="F169" s="172">
        <f>+SUM(F157,F159,F166,F168)</f>
        <v>341.82472291407225</v>
      </c>
      <c r="G169" s="173">
        <f>+SUM(G157,G159,G166,G168)</f>
        <v>462.36187992211944</v>
      </c>
      <c r="H169" s="20"/>
      <c r="I169" s="21"/>
      <c r="J169" s="163">
        <f t="shared" ref="J169:O169" si="50">+SUM(J157,J159,J166,J168)</f>
        <v>301.24430209589048</v>
      </c>
      <c r="K169" s="22">
        <f t="shared" ca="1" si="50"/>
        <v>449.54130761219972</v>
      </c>
      <c r="L169" s="22">
        <f t="shared" ca="1" si="50"/>
        <v>599.86435431048062</v>
      </c>
      <c r="M169" s="22">
        <f t="shared" ca="1" si="50"/>
        <v>764.85597143568305</v>
      </c>
      <c r="N169" s="22">
        <f t="shared" ca="1" si="50"/>
        <v>945.80609912658883</v>
      </c>
      <c r="O169" s="23">
        <f t="shared" ca="1" si="50"/>
        <v>1144.1132065918041</v>
      </c>
      <c r="Q169" s="174"/>
      <c r="R169" s="174"/>
      <c r="S169" s="174"/>
      <c r="T169" s="174"/>
      <c r="U169" s="174"/>
      <c r="V169" s="174"/>
      <c r="W169" s="174"/>
      <c r="X169" s="174"/>
    </row>
    <row r="170" spans="2:24" s="4" customFormat="1" ht="12.95" customHeight="1" x14ac:dyDescent="0.2">
      <c r="G170" s="131"/>
      <c r="H170" s="112"/>
      <c r="J170" s="107"/>
      <c r="K170" s="150"/>
      <c r="L170" s="150"/>
      <c r="M170" s="150"/>
      <c r="N170" s="150"/>
      <c r="O170" s="150"/>
    </row>
    <row r="171" spans="2:24" s="4" customFormat="1" ht="12.95" customHeight="1" outlineLevel="1" x14ac:dyDescent="0.2">
      <c r="B171" s="4" t="s">
        <v>52</v>
      </c>
      <c r="E171" s="175">
        <f>+IF(ABS(E152-E169)&gt;0.001,1,0)</f>
        <v>0</v>
      </c>
      <c r="F171" s="175">
        <f>+IF(ABS(F152-F169)&gt;0.001,1,0)</f>
        <v>0</v>
      </c>
      <c r="G171" s="176">
        <f>+IF(ABS(G152-G169)&gt;0.001,1,0)</f>
        <v>0</v>
      </c>
      <c r="H171" s="112"/>
      <c r="J171" s="177">
        <f t="shared" ref="J171:O171" si="51">+IF(ABS(J152-J169)&gt;0.001,1,0)</f>
        <v>0</v>
      </c>
      <c r="K171" s="175">
        <f t="shared" ca="1" si="51"/>
        <v>0</v>
      </c>
      <c r="L171" s="175">
        <f t="shared" ca="1" si="51"/>
        <v>0</v>
      </c>
      <c r="M171" s="175">
        <f t="shared" ca="1" si="51"/>
        <v>0</v>
      </c>
      <c r="N171" s="175">
        <f t="shared" ca="1" si="51"/>
        <v>0</v>
      </c>
      <c r="O171" s="175">
        <f t="shared" ca="1" si="51"/>
        <v>0</v>
      </c>
    </row>
    <row r="172" spans="2:24" s="4" customFormat="1" ht="12.95" customHeight="1" outlineLevel="1" x14ac:dyDescent="0.2">
      <c r="G172" s="131"/>
      <c r="H172" s="112"/>
      <c r="J172" s="178"/>
    </row>
    <row r="173" spans="2:24" s="4" customFormat="1" ht="12.95" customHeight="1" outlineLevel="1" x14ac:dyDescent="0.2">
      <c r="B173" s="2" t="s">
        <v>58</v>
      </c>
      <c r="C173" s="3"/>
      <c r="D173" s="3"/>
      <c r="E173" s="3"/>
      <c r="F173" s="3"/>
      <c r="G173" s="133"/>
      <c r="H173" s="112"/>
      <c r="J173" s="179"/>
      <c r="K173" s="3"/>
      <c r="L173" s="3"/>
      <c r="M173" s="3"/>
      <c r="N173" s="3"/>
      <c r="O173" s="3"/>
    </row>
    <row r="174" spans="2:24" s="4" customFormat="1" ht="12.95" customHeight="1" outlineLevel="1" x14ac:dyDescent="0.2">
      <c r="B174" s="4" t="str">
        <f>+B107</f>
        <v>Revenue</v>
      </c>
      <c r="E174" s="35">
        <f>+H107</f>
        <v>900</v>
      </c>
      <c r="F174" s="35">
        <f>+I107</f>
        <v>963</v>
      </c>
      <c r="G174" s="236">
        <f>+J107</f>
        <v>1030.4100000000001</v>
      </c>
      <c r="H174" s="145"/>
      <c r="I174" s="181"/>
      <c r="J174" s="180"/>
      <c r="K174" s="35">
        <f>+K107</f>
        <v>1102.5387000000001</v>
      </c>
      <c r="L174" s="35">
        <f>+L107</f>
        <v>1179.7164090000001</v>
      </c>
      <c r="M174" s="35">
        <f>+M107</f>
        <v>1262.2965576300003</v>
      </c>
      <c r="N174" s="35">
        <f>+N107</f>
        <v>1350.6573166641003</v>
      </c>
      <c r="O174" s="35">
        <f>+O107</f>
        <v>1445.2033288305875</v>
      </c>
    </row>
    <row r="175" spans="2:24" s="4" customFormat="1" ht="12.95" customHeight="1" outlineLevel="1" x14ac:dyDescent="0.2">
      <c r="B175" s="4" t="str">
        <f>+B108</f>
        <v>Cost of Goods Sold (Cost of Sales)</v>
      </c>
      <c r="E175" s="35">
        <f>-H108</f>
        <v>513</v>
      </c>
      <c r="F175" s="35">
        <f>-I108</f>
        <v>547.947</v>
      </c>
      <c r="G175" s="236">
        <f>-J108</f>
        <v>585.2728800000001</v>
      </c>
      <c r="H175" s="112"/>
      <c r="I175" s="131"/>
      <c r="J175" s="180"/>
      <c r="K175" s="35">
        <f>-K108</f>
        <v>624.03690420000009</v>
      </c>
      <c r="L175" s="35">
        <f>-L108</f>
        <v>665.36005467600012</v>
      </c>
      <c r="M175" s="35">
        <f>-M108</f>
        <v>709.41066538806024</v>
      </c>
      <c r="N175" s="35">
        <f>-N108</f>
        <v>756.36809733189625</v>
      </c>
      <c r="O175" s="35">
        <f>-O108</f>
        <v>806.42345748746789</v>
      </c>
    </row>
    <row r="176" spans="2:24" s="4" customFormat="1" ht="12.95" customHeight="1" outlineLevel="1" x14ac:dyDescent="0.2">
      <c r="B176" s="3" t="str">
        <f>+B110</f>
        <v>SG&amp;A</v>
      </c>
      <c r="C176" s="3"/>
      <c r="D176" s="3"/>
      <c r="E176" s="66">
        <f>-H110</f>
        <v>252.00000000000003</v>
      </c>
      <c r="F176" s="66">
        <f>-I110</f>
        <v>270.60300000000001</v>
      </c>
      <c r="G176" s="237">
        <f>-J110</f>
        <v>290.57562000000007</v>
      </c>
      <c r="H176" s="115"/>
      <c r="I176" s="133"/>
      <c r="J176" s="182"/>
      <c r="K176" s="66">
        <f>-K110</f>
        <v>309.26210535000007</v>
      </c>
      <c r="L176" s="66">
        <f>-L110</f>
        <v>329.14087811100006</v>
      </c>
      <c r="M176" s="66">
        <f>-M110</f>
        <v>350.28729474232512</v>
      </c>
      <c r="N176" s="66">
        <f>-N110</f>
        <v>372.78141939929174</v>
      </c>
      <c r="O176" s="66">
        <f>-O110</f>
        <v>396.70831376399627</v>
      </c>
    </row>
    <row r="177" spans="1:15" s="4" customFormat="1" ht="12.95" customHeight="1" outlineLevel="1" x14ac:dyDescent="0.2">
      <c r="G177" s="131"/>
      <c r="H177" s="112"/>
      <c r="J177" s="107"/>
    </row>
    <row r="178" spans="1:15" s="69" customFormat="1" ht="12.95" customHeight="1" x14ac:dyDescent="0.2">
      <c r="B178" s="2" t="s">
        <v>121</v>
      </c>
      <c r="C178" s="2"/>
      <c r="D178" s="2"/>
      <c r="E178" s="2"/>
      <c r="F178" s="2"/>
      <c r="G178" s="183"/>
      <c r="H178" s="40"/>
      <c r="I178" s="184"/>
      <c r="J178" s="184"/>
      <c r="K178" s="2"/>
      <c r="L178" s="2"/>
      <c r="M178" s="2"/>
      <c r="N178" s="2"/>
      <c r="O178" s="2"/>
    </row>
    <row r="179" spans="1:15" s="4" customFormat="1" ht="12.95" customHeight="1" x14ac:dyDescent="0.2">
      <c r="B179" s="4" t="s">
        <v>53</v>
      </c>
      <c r="E179" s="185">
        <f>+(E143/E174)*365</f>
        <v>31.500000000000004</v>
      </c>
      <c r="F179" s="185">
        <f>+(F143/F174)*365</f>
        <v>31</v>
      </c>
      <c r="G179" s="186">
        <f>+(G143/G174)*365</f>
        <v>30.5</v>
      </c>
      <c r="H179" s="112"/>
      <c r="I179" s="131"/>
      <c r="J179" s="187"/>
      <c r="K179" s="188">
        <v>30</v>
      </c>
      <c r="L179" s="189">
        <v>30</v>
      </c>
      <c r="M179" s="189">
        <v>30</v>
      </c>
      <c r="N179" s="189">
        <v>30</v>
      </c>
      <c r="O179" s="189">
        <v>30</v>
      </c>
    </row>
    <row r="180" spans="1:15" s="4" customFormat="1" ht="12.95" customHeight="1" x14ac:dyDescent="0.2">
      <c r="B180" s="4" t="s">
        <v>54</v>
      </c>
      <c r="E180" s="190">
        <f>+E175/E144</f>
        <v>9.9499999999999993</v>
      </c>
      <c r="F180" s="190">
        <f>+F175/F144</f>
        <v>9.8999999999999986</v>
      </c>
      <c r="G180" s="191">
        <f>+G175/G144</f>
        <v>9.8499999999999979</v>
      </c>
      <c r="H180" s="112"/>
      <c r="J180" s="192"/>
      <c r="K180" s="53">
        <v>9.7999999999999972</v>
      </c>
      <c r="L180" s="53">
        <v>9.7999999999999972</v>
      </c>
      <c r="M180" s="53">
        <v>9.7999999999999972</v>
      </c>
      <c r="N180" s="53">
        <v>9.7999999999999972</v>
      </c>
      <c r="O180" s="53">
        <v>9.7999999999999972</v>
      </c>
    </row>
    <row r="181" spans="1:15" s="4" customFormat="1" ht="12.95" customHeight="1" x14ac:dyDescent="0.2">
      <c r="B181" s="4" t="s">
        <v>59</v>
      </c>
      <c r="E181" s="193">
        <f>+E145/E174</f>
        <v>2.8999999999999998E-2</v>
      </c>
      <c r="F181" s="193">
        <f>+F145/F174</f>
        <v>2.7999999999999997E-2</v>
      </c>
      <c r="G181" s="194">
        <f>+G145/G174</f>
        <v>2.6999999999999996E-2</v>
      </c>
      <c r="H181" s="112"/>
      <c r="J181" s="195"/>
      <c r="K181" s="134">
        <v>2.5999999999999995E-2</v>
      </c>
      <c r="L181" s="134">
        <v>2.5999999999999995E-2</v>
      </c>
      <c r="M181" s="134">
        <v>2.5999999999999995E-2</v>
      </c>
      <c r="N181" s="134">
        <v>2.5999999999999995E-2</v>
      </c>
      <c r="O181" s="134">
        <v>2.5999999999999995E-2</v>
      </c>
    </row>
    <row r="182" spans="1:15" s="4" customFormat="1" ht="12.95" customHeight="1" x14ac:dyDescent="0.2">
      <c r="B182" s="4" t="s">
        <v>119</v>
      </c>
      <c r="E182" s="193"/>
      <c r="F182" s="193"/>
      <c r="G182" s="194"/>
      <c r="H182" s="112"/>
      <c r="J182" s="195"/>
      <c r="K182" s="134">
        <v>0.04</v>
      </c>
      <c r="L182" s="134">
        <v>0.04</v>
      </c>
      <c r="M182" s="134">
        <v>0.04</v>
      </c>
      <c r="N182" s="134">
        <v>0.04</v>
      </c>
      <c r="O182" s="134">
        <v>0.04</v>
      </c>
    </row>
    <row r="183" spans="1:15" s="4" customFormat="1" ht="12.95" customHeight="1" x14ac:dyDescent="0.2">
      <c r="E183" s="196"/>
      <c r="F183" s="196"/>
      <c r="G183" s="197"/>
      <c r="H183" s="112"/>
      <c r="J183" s="107"/>
    </row>
    <row r="184" spans="1:15" s="4" customFormat="1" ht="12.95" customHeight="1" x14ac:dyDescent="0.2">
      <c r="B184" s="4" t="s">
        <v>55</v>
      </c>
      <c r="E184" s="185">
        <f>+(E154/E175)*365</f>
        <v>26.25</v>
      </c>
      <c r="F184" s="185">
        <f>+(F154/F175)*365</f>
        <v>27.5</v>
      </c>
      <c r="G184" s="198">
        <f>+(G154/G175)*365</f>
        <v>28.75</v>
      </c>
      <c r="H184" s="112"/>
      <c r="J184" s="199"/>
      <c r="K184" s="189">
        <v>30</v>
      </c>
      <c r="L184" s="189">
        <v>30</v>
      </c>
      <c r="M184" s="189">
        <v>30</v>
      </c>
      <c r="N184" s="189">
        <v>30</v>
      </c>
      <c r="O184" s="189">
        <v>30</v>
      </c>
    </row>
    <row r="185" spans="1:15" s="4" customFormat="1" ht="12.95" customHeight="1" x14ac:dyDescent="0.2">
      <c r="B185" s="4" t="s">
        <v>211</v>
      </c>
      <c r="E185" s="193">
        <f>+E155/SUM(E175:E176)</f>
        <v>5.2000000000000005E-2</v>
      </c>
      <c r="F185" s="193">
        <f>+F155/SUM(F175:F176)</f>
        <v>5.4000000000000006E-2</v>
      </c>
      <c r="G185" s="194">
        <f>+G155/SUM(G175:G176)</f>
        <v>5.6000000000000008E-2</v>
      </c>
      <c r="H185" s="112"/>
      <c r="J185" s="195"/>
      <c r="K185" s="134">
        <v>5.800000000000001E-2</v>
      </c>
      <c r="L185" s="134">
        <v>5.800000000000001E-2</v>
      </c>
      <c r="M185" s="134">
        <v>5.800000000000001E-2</v>
      </c>
      <c r="N185" s="134">
        <v>5.800000000000001E-2</v>
      </c>
      <c r="O185" s="134">
        <v>5.800000000000001E-2</v>
      </c>
    </row>
    <row r="186" spans="1:15" s="4" customFormat="1" ht="12.95" customHeight="1" x14ac:dyDescent="0.2">
      <c r="B186" s="4" t="s">
        <v>118</v>
      </c>
      <c r="E186" s="193">
        <f>+E156/E174</f>
        <v>2.75E-2</v>
      </c>
      <c r="F186" s="193">
        <f>+F156/F174</f>
        <v>3.5000000000000003E-2</v>
      </c>
      <c r="G186" s="194">
        <f>+G156/G174</f>
        <v>4.2500000000000003E-2</v>
      </c>
      <c r="H186" s="112"/>
      <c r="J186" s="195"/>
      <c r="K186" s="134">
        <v>0.05</v>
      </c>
      <c r="L186" s="134">
        <v>0.05</v>
      </c>
      <c r="M186" s="134">
        <v>0.05</v>
      </c>
      <c r="N186" s="134">
        <v>0.05</v>
      </c>
      <c r="O186" s="134">
        <v>0.05</v>
      </c>
    </row>
    <row r="187" spans="1:15" s="4" customFormat="1" ht="12.95" customHeight="1" x14ac:dyDescent="0.2">
      <c r="B187" s="4" t="s">
        <v>120</v>
      </c>
      <c r="E187" s="193">
        <f>+E159/E174</f>
        <v>0.01</v>
      </c>
      <c r="F187" s="193">
        <f>+F159/F174</f>
        <v>0.01</v>
      </c>
      <c r="G187" s="194">
        <f>+G159/G174</f>
        <v>0.01</v>
      </c>
      <c r="H187" s="112"/>
      <c r="J187" s="195"/>
      <c r="K187" s="134">
        <v>0.01</v>
      </c>
      <c r="L187" s="134">
        <v>0.01</v>
      </c>
      <c r="M187" s="134">
        <v>0.01</v>
      </c>
      <c r="N187" s="134">
        <v>0.01</v>
      </c>
      <c r="O187" s="134">
        <v>0.01</v>
      </c>
    </row>
    <row r="188" spans="1:15" s="4" customFormat="1" ht="12.95" customHeight="1" x14ac:dyDescent="0.2">
      <c r="G188" s="131"/>
      <c r="H188" s="112"/>
      <c r="J188" s="107"/>
    </row>
    <row r="189" spans="1:15" s="4" customFormat="1" ht="12.95" customHeight="1" x14ac:dyDescent="0.2">
      <c r="B189" s="4" t="s">
        <v>60</v>
      </c>
      <c r="E189" s="200">
        <f>+(E146-E142)-E157</f>
        <v>53.905186204997605</v>
      </c>
      <c r="F189" s="200">
        <f>+(F146-F142)-F157</f>
        <v>44.910844831880468</v>
      </c>
      <c r="G189" s="201">
        <f>+(G146-G142)-G157</f>
        <v>34.402187826229095</v>
      </c>
      <c r="H189" s="202"/>
      <c r="I189" s="200"/>
      <c r="J189" s="102"/>
      <c r="K189" s="200">
        <f ca="1">+(K146-K142)-K157</f>
        <v>22.413878491836613</v>
      </c>
      <c r="L189" s="200">
        <f ca="1">+(L146-L142)-L157</f>
        <v>24.175499951516997</v>
      </c>
      <c r="M189" s="200">
        <f ca="1">+(M146-M142)-M157</f>
        <v>26.073920410942549</v>
      </c>
      <c r="N189" s="200">
        <f ca="1">+(N146-N142)-N157</f>
        <v>28.119659784925261</v>
      </c>
      <c r="O189" s="200">
        <f ca="1">+(O146-O142)-O157</f>
        <v>30.324040461252167</v>
      </c>
    </row>
    <row r="190" spans="1:15" s="4" customFormat="1" ht="12.95" customHeight="1" x14ac:dyDescent="0.2">
      <c r="B190" s="3" t="s">
        <v>195</v>
      </c>
      <c r="C190" s="3"/>
      <c r="D190" s="3"/>
      <c r="E190" s="203">
        <f>+E189/E174</f>
        <v>5.9894651338886225E-2</v>
      </c>
      <c r="F190" s="203">
        <f>+F189/F174</f>
        <v>4.6636391310363935E-2</v>
      </c>
      <c r="G190" s="204">
        <f>+G189/G174</f>
        <v>3.3386892427508558E-2</v>
      </c>
      <c r="H190" s="115"/>
      <c r="I190" s="3"/>
      <c r="J190" s="205"/>
      <c r="K190" s="203">
        <f ca="1">+K189/K174</f>
        <v>2.032933491752862E-2</v>
      </c>
      <c r="L190" s="203">
        <f ca="1">+L189/L174</f>
        <v>2.0492636846519436E-2</v>
      </c>
      <c r="M190" s="203">
        <f ca="1">+M189/M174</f>
        <v>2.0655938775510183E-2</v>
      </c>
      <c r="N190" s="203">
        <f ca="1">+N189/N174</f>
        <v>2.0819240704500946E-2</v>
      </c>
      <c r="O190" s="203">
        <f ca="1">+O189/O174</f>
        <v>2.0982542633491866E-2</v>
      </c>
    </row>
    <row r="191" spans="1:15" ht="12.95" customHeight="1" x14ac:dyDescent="0.2">
      <c r="B191" s="3"/>
      <c r="C191" s="3"/>
      <c r="D191" s="3"/>
      <c r="E191" s="3"/>
      <c r="F191" s="3"/>
      <c r="G191" s="3"/>
      <c r="H191" s="3"/>
      <c r="I191" s="3"/>
      <c r="J191" s="3"/>
      <c r="K191" s="3"/>
      <c r="L191" s="3"/>
      <c r="M191" s="3"/>
      <c r="N191" s="3"/>
      <c r="O191" s="3"/>
    </row>
    <row r="192" spans="1:15" ht="12.95" customHeight="1" x14ac:dyDescent="0.2">
      <c r="A192" s="1" t="s">
        <v>39</v>
      </c>
      <c r="B192" s="50" t="s">
        <v>103</v>
      </c>
      <c r="C192" s="51"/>
      <c r="D192" s="51"/>
      <c r="E192" s="51"/>
      <c r="F192" s="51"/>
      <c r="G192" s="51"/>
      <c r="H192" s="51"/>
      <c r="I192" s="51"/>
      <c r="J192" s="51"/>
      <c r="K192" s="51"/>
      <c r="L192" s="51"/>
      <c r="M192" s="51"/>
      <c r="N192" s="51"/>
      <c r="O192" s="73"/>
    </row>
    <row r="194" spans="2:15" ht="12.95" customHeight="1" x14ac:dyDescent="0.35">
      <c r="I194" s="206"/>
      <c r="J194" s="206"/>
      <c r="K194" s="10" t="str">
        <f>+$K$34</f>
        <v>Fiscal Year Ended 12/31</v>
      </c>
      <c r="L194" s="206"/>
      <c r="M194" s="206"/>
      <c r="N194" s="206"/>
      <c r="O194" s="206"/>
    </row>
    <row r="195" spans="2:15" ht="12.95" customHeight="1" x14ac:dyDescent="0.2">
      <c r="B195" s="24" t="s">
        <v>66</v>
      </c>
      <c r="K195" s="13">
        <f>+$K$106</f>
        <v>2020</v>
      </c>
      <c r="L195" s="13">
        <f>+$L$106</f>
        <v>2021</v>
      </c>
      <c r="M195" s="13">
        <f>+$M$106</f>
        <v>2022</v>
      </c>
      <c r="N195" s="13">
        <f>+$N$106</f>
        <v>2023</v>
      </c>
      <c r="O195" s="13">
        <f>+$O$106</f>
        <v>2024</v>
      </c>
    </row>
    <row r="196" spans="2:15" ht="12.95" customHeight="1" x14ac:dyDescent="0.2">
      <c r="B196" s="1" t="s">
        <v>23</v>
      </c>
      <c r="H196" s="108"/>
      <c r="I196" s="108"/>
      <c r="J196" s="108"/>
      <c r="K196" s="15">
        <f ca="1">+K116</f>
        <v>125.96693860350513</v>
      </c>
      <c r="L196" s="15">
        <f ca="1">+L116</f>
        <v>138.7462492837405</v>
      </c>
      <c r="M196" s="15">
        <f ca="1">+M116</f>
        <v>152.63478248076868</v>
      </c>
      <c r="N196" s="15">
        <f ca="1">+N116</f>
        <v>167.76077691172529</v>
      </c>
      <c r="O196" s="15">
        <f ca="1">+O116</f>
        <v>184.22923678218109</v>
      </c>
    </row>
    <row r="197" spans="2:15" ht="12.95" customHeight="1" x14ac:dyDescent="0.2">
      <c r="B197" s="1" t="s">
        <v>67</v>
      </c>
      <c r="H197" s="38"/>
      <c r="I197" s="38"/>
      <c r="J197" s="38"/>
      <c r="K197" s="16">
        <f>+K120</f>
        <v>41.896470600000008</v>
      </c>
      <c r="L197" s="16">
        <f>+L120</f>
        <v>46.008939951000009</v>
      </c>
      <c r="M197" s="16">
        <f>+M120</f>
        <v>50.491862305200023</v>
      </c>
      <c r="N197" s="16">
        <f>+N120</f>
        <v>55.376949983228123</v>
      </c>
      <c r="O197" s="16">
        <f>+O120</f>
        <v>60.698539810884689</v>
      </c>
    </row>
    <row r="198" spans="2:15" ht="12.95" customHeight="1" x14ac:dyDescent="0.2">
      <c r="B198" s="1" t="s">
        <v>145</v>
      </c>
      <c r="H198" s="38"/>
      <c r="I198" s="38"/>
      <c r="J198" s="38"/>
      <c r="K198" s="16">
        <f>+K42</f>
        <v>0.39999999999999991</v>
      </c>
      <c r="L198" s="16">
        <f>+L42</f>
        <v>0.39999999999999991</v>
      </c>
      <c r="M198" s="16">
        <f>+M42</f>
        <v>0.4</v>
      </c>
      <c r="N198" s="16">
        <f>+N42</f>
        <v>0.4</v>
      </c>
      <c r="O198" s="16">
        <f>+O42</f>
        <v>0.4</v>
      </c>
    </row>
    <row r="199" spans="2:15" ht="12.95" customHeight="1" x14ac:dyDescent="0.2">
      <c r="B199" s="1" t="s">
        <v>150</v>
      </c>
      <c r="H199" s="38"/>
      <c r="I199" s="38"/>
      <c r="J199" s="38"/>
      <c r="K199" s="62">
        <f ca="1">K319</f>
        <v>0</v>
      </c>
      <c r="L199" s="62">
        <f t="shared" ref="L199:O199" ca="1" si="52">L319</f>
        <v>0</v>
      </c>
      <c r="M199" s="62">
        <f t="shared" ca="1" si="52"/>
        <v>0</v>
      </c>
      <c r="N199" s="62">
        <f t="shared" ca="1" si="52"/>
        <v>0</v>
      </c>
      <c r="O199" s="62">
        <f t="shared" ca="1" si="52"/>
        <v>0</v>
      </c>
    </row>
    <row r="201" spans="2:15" ht="12.95" customHeight="1" x14ac:dyDescent="0.2">
      <c r="B201" s="24" t="s">
        <v>85</v>
      </c>
    </row>
    <row r="202" spans="2:15" ht="12.95" customHeight="1" x14ac:dyDescent="0.2">
      <c r="B202" s="1" t="str">
        <f>+"(Increase) / Decrease in "&amp;B143</f>
        <v>(Increase) / Decrease in Accounts Receivable</v>
      </c>
      <c r="H202" s="38"/>
      <c r="I202" s="38"/>
      <c r="J202" s="38"/>
      <c r="K202" s="16">
        <f t="shared" ref="K202:O204" si="53">+(J143-K143)</f>
        <v>-4.5168657534246393</v>
      </c>
      <c r="L202" s="16">
        <f t="shared" si="53"/>
        <v>-6.3433733424657532</v>
      </c>
      <c r="M202" s="16">
        <f t="shared" si="53"/>
        <v>-6.7874094764383699</v>
      </c>
      <c r="N202" s="16">
        <f t="shared" si="53"/>
        <v>-7.2625281397890546</v>
      </c>
      <c r="O202" s="16">
        <f t="shared" si="53"/>
        <v>-7.7709051095742865</v>
      </c>
    </row>
    <row r="203" spans="2:15" ht="12.95" customHeight="1" x14ac:dyDescent="0.2">
      <c r="B203" s="1" t="str">
        <f>+"(Increase) / Decrease in "&amp;B144</f>
        <v>(Increase) / Decrease in Inventories</v>
      </c>
      <c r="H203" s="38"/>
      <c r="I203" s="38"/>
      <c r="J203" s="38"/>
      <c r="K203" s="16">
        <f t="shared" si="53"/>
        <v>-4.2586686249870525</v>
      </c>
      <c r="L203" s="16">
        <f t="shared" si="53"/>
        <v>-4.2166480077551114</v>
      </c>
      <c r="M203" s="16">
        <f t="shared" si="53"/>
        <v>-4.4949602767408265</v>
      </c>
      <c r="N203" s="16">
        <f t="shared" si="53"/>
        <v>-4.7915746881465395</v>
      </c>
      <c r="O203" s="16">
        <f t="shared" si="53"/>
        <v>-5.1076898117930227</v>
      </c>
    </row>
    <row r="204" spans="2:15" ht="12.95" customHeight="1" x14ac:dyDescent="0.2">
      <c r="B204" s="1" t="str">
        <f>+"(Increase) / Decrease in "&amp;B145</f>
        <v>(Increase) / Decrease in Prepaid Expenses</v>
      </c>
      <c r="H204" s="38"/>
      <c r="I204" s="38"/>
      <c r="J204" s="38"/>
      <c r="K204" s="16">
        <f t="shared" si="53"/>
        <v>-0.84493619999999936</v>
      </c>
      <c r="L204" s="16">
        <f t="shared" si="53"/>
        <v>-2.0066204339999985</v>
      </c>
      <c r="M204" s="16">
        <f t="shared" si="53"/>
        <v>-2.1470838643800079</v>
      </c>
      <c r="N204" s="16">
        <f t="shared" si="53"/>
        <v>-2.2973797348865972</v>
      </c>
      <c r="O204" s="16">
        <f t="shared" si="53"/>
        <v>-2.4581963163286673</v>
      </c>
    </row>
    <row r="205" spans="2:15" ht="12.95" customHeight="1" x14ac:dyDescent="0.2">
      <c r="B205" s="1" t="str">
        <f>+"(Increase) / Decrease in "&amp;B151</f>
        <v>(Increase) / Decrease in Other Long-Term (Operating) Assets</v>
      </c>
      <c r="H205" s="38"/>
      <c r="I205" s="38"/>
      <c r="J205" s="38"/>
      <c r="K205" s="16">
        <f>+(J151-K151)</f>
        <v>-8.0371979999999965</v>
      </c>
      <c r="L205" s="16">
        <f>+(K151-L151)</f>
        <v>-3.087108360000002</v>
      </c>
      <c r="M205" s="16">
        <f>+(L151-M151)</f>
        <v>-3.3032059452000126</v>
      </c>
      <c r="N205" s="16">
        <f>+(M151-N151)</f>
        <v>-3.5344303613640022</v>
      </c>
      <c r="O205" s="16">
        <f>+(N151-O151)</f>
        <v>-3.7818404866594832</v>
      </c>
    </row>
    <row r="206" spans="2:15" ht="12.95" customHeight="1" x14ac:dyDescent="0.2">
      <c r="B206" s="1" t="str">
        <f>+"Increase / (Decrease) in "&amp;B154</f>
        <v>Increase / (Decrease) in Accounts Payable</v>
      </c>
      <c r="H206" s="38"/>
      <c r="I206" s="38"/>
      <c r="J206" s="38"/>
      <c r="K206" s="16">
        <f t="shared" ref="K206:O208" si="54">+K154-J154</f>
        <v>5.1904433589041119</v>
      </c>
      <c r="L206" s="16">
        <f t="shared" si="54"/>
        <v>3.396423326794519</v>
      </c>
      <c r="M206" s="16">
        <f t="shared" si="54"/>
        <v>3.62059814071727</v>
      </c>
      <c r="N206" s="16">
        <f t="shared" si="54"/>
        <v>3.8595149542878886</v>
      </c>
      <c r="O206" s="16">
        <f t="shared" si="54"/>
        <v>4.1141391908688973</v>
      </c>
    </row>
    <row r="207" spans="2:15" ht="12.95" customHeight="1" x14ac:dyDescent="0.2">
      <c r="B207" s="1" t="str">
        <f>+"Increase / (Decrease) in "&amp;B155</f>
        <v>Increase / (Decrease) in Accrued Liabilities</v>
      </c>
      <c r="H207" s="38"/>
      <c r="I207" s="38"/>
      <c r="J207" s="38"/>
      <c r="K207" s="16">
        <f t="shared" si="54"/>
        <v>5.0838265539000034</v>
      </c>
      <c r="L207" s="16">
        <f t="shared" si="54"/>
        <v>3.5497115477460071</v>
      </c>
      <c r="M207" s="16">
        <f t="shared" si="54"/>
        <v>3.7814275859163331</v>
      </c>
      <c r="N207" s="16">
        <f t="shared" si="54"/>
        <v>4.0281902828465519</v>
      </c>
      <c r="O207" s="16">
        <f t="shared" si="54"/>
        <v>4.2909707621760305</v>
      </c>
    </row>
    <row r="208" spans="2:15" ht="12.95" customHeight="1" x14ac:dyDescent="0.2">
      <c r="B208" s="1" t="str">
        <f>+"Increase / (Decrease) in "&amp;B156</f>
        <v>Increase / (Decrease) in Deferred Revenue</v>
      </c>
      <c r="H208" s="38"/>
      <c r="I208" s="38"/>
      <c r="J208" s="38"/>
      <c r="K208" s="16">
        <f t="shared" si="54"/>
        <v>11.334509999999995</v>
      </c>
      <c r="L208" s="16">
        <f t="shared" si="54"/>
        <v>3.8588854500000025</v>
      </c>
      <c r="M208" s="16">
        <f t="shared" si="54"/>
        <v>4.129007431500014</v>
      </c>
      <c r="N208" s="16">
        <f t="shared" si="54"/>
        <v>4.4180379517050028</v>
      </c>
      <c r="O208" s="16">
        <f t="shared" si="54"/>
        <v>4.7273006083243558</v>
      </c>
    </row>
    <row r="209" spans="2:15" s="4" customFormat="1" ht="12.95" customHeight="1" x14ac:dyDescent="0.2">
      <c r="B209" s="3" t="str">
        <f>+"Increase / (Decrease) in "&amp;B159</f>
        <v>Increase / (Decrease) in Other Long-Term (Operating) Liabilities</v>
      </c>
      <c r="C209" s="3"/>
      <c r="D209" s="3"/>
      <c r="E209" s="3"/>
      <c r="F209" s="3"/>
      <c r="G209" s="3"/>
      <c r="H209" s="153"/>
      <c r="I209" s="153"/>
      <c r="J209" s="153"/>
      <c r="K209" s="66">
        <f>+K159-J159</f>
        <v>0.72128699999999846</v>
      </c>
      <c r="L209" s="66">
        <f>+L159-K159</f>
        <v>0.7717770900000005</v>
      </c>
      <c r="M209" s="66">
        <f>+M159-L159</f>
        <v>0.82580148630000316</v>
      </c>
      <c r="N209" s="66">
        <f>+N159-M159</f>
        <v>0.88360759034100056</v>
      </c>
      <c r="O209" s="66">
        <f>+O159-N159</f>
        <v>0.94546012166487081</v>
      </c>
    </row>
    <row r="210" spans="2:15" s="4" customFormat="1" ht="12.95" customHeight="1" x14ac:dyDescent="0.2">
      <c r="B210" s="4" t="s">
        <v>68</v>
      </c>
      <c r="H210" s="200"/>
      <c r="I210" s="200"/>
      <c r="J210" s="200"/>
      <c r="K210" s="54">
        <f>+SUM(K202:K209)</f>
        <v>4.6723983343924207</v>
      </c>
      <c r="L210" s="54">
        <f>+SUM(L202:L209)</f>
        <v>-4.0769527296803361</v>
      </c>
      <c r="M210" s="54">
        <f>+SUM(M202:M209)</f>
        <v>-4.3758249183255966</v>
      </c>
      <c r="N210" s="54">
        <f>+SUM(N202:N209)</f>
        <v>-4.6965621450057498</v>
      </c>
      <c r="O210" s="54">
        <f>+SUM(O202:O209)</f>
        <v>-5.0407610413213053</v>
      </c>
    </row>
    <row r="211" spans="2:15" s="4" customFormat="1" ht="12.95" customHeight="1" x14ac:dyDescent="0.2"/>
    <row r="212" spans="2:15" s="4" customFormat="1" ht="12.95" customHeight="1" x14ac:dyDescent="0.2">
      <c r="B212" s="207" t="s">
        <v>69</v>
      </c>
      <c r="C212" s="208"/>
      <c r="D212" s="208"/>
      <c r="E212" s="208"/>
      <c r="F212" s="208"/>
      <c r="G212" s="208"/>
      <c r="H212" s="209"/>
      <c r="I212" s="209"/>
      <c r="J212" s="209"/>
      <c r="K212" s="22">
        <f ca="1">+SUM(K196:K199,K210)</f>
        <v>172.93580753789757</v>
      </c>
      <c r="L212" s="22">
        <f ca="1">+SUM(L196:L199,L210)</f>
        <v>181.07823650506018</v>
      </c>
      <c r="M212" s="22">
        <f ca="1">+SUM(M196:M199,M210)</f>
        <v>199.15081986764309</v>
      </c>
      <c r="N212" s="22">
        <f ca="1">+SUM(N196:N199,N210)</f>
        <v>218.84116474994767</v>
      </c>
      <c r="O212" s="23">
        <f ca="1">+SUM(O196:O199,O210)</f>
        <v>240.28701555174447</v>
      </c>
    </row>
    <row r="213" spans="2:15" s="4" customFormat="1" ht="12.95" customHeight="1" x14ac:dyDescent="0.2"/>
    <row r="214" spans="2:15" ht="12.95" customHeight="1" x14ac:dyDescent="0.2">
      <c r="B214" s="24" t="s">
        <v>70</v>
      </c>
    </row>
    <row r="215" spans="2:15" ht="12.95" customHeight="1" x14ac:dyDescent="0.2">
      <c r="B215" s="4" t="s">
        <v>71</v>
      </c>
      <c r="C215" s="4"/>
      <c r="D215" s="4"/>
      <c r="E215" s="4"/>
      <c r="F215" s="4"/>
      <c r="G215" s="4"/>
      <c r="H215" s="200"/>
      <c r="I215" s="200"/>
      <c r="J215" s="200"/>
      <c r="K215" s="54">
        <f>-K126</f>
        <v>-45.755356050000003</v>
      </c>
      <c r="L215" s="54">
        <f>-L126</f>
        <v>-49.548089178000005</v>
      </c>
      <c r="M215" s="54">
        <f>-M126</f>
        <v>-53.647603699275017</v>
      </c>
      <c r="N215" s="54">
        <f>-N126</f>
        <v>-58.078264616556318</v>
      </c>
      <c r="O215" s="54">
        <f>-O126</f>
        <v>-62.866344804130563</v>
      </c>
    </row>
    <row r="216" spans="2:15" s="76" customFormat="1" ht="12.95" customHeight="1" x14ac:dyDescent="0.2">
      <c r="B216" s="20" t="s">
        <v>72</v>
      </c>
      <c r="C216" s="21"/>
      <c r="D216" s="21"/>
      <c r="E216" s="21"/>
      <c r="F216" s="21"/>
      <c r="G216" s="21"/>
      <c r="H216" s="172"/>
      <c r="I216" s="172"/>
      <c r="J216" s="172"/>
      <c r="K216" s="22">
        <f>SUM(K215)</f>
        <v>-45.755356050000003</v>
      </c>
      <c r="L216" s="22">
        <f>SUM(L215)</f>
        <v>-49.548089178000005</v>
      </c>
      <c r="M216" s="22">
        <f>SUM(M215)</f>
        <v>-53.647603699275017</v>
      </c>
      <c r="N216" s="22">
        <f>SUM(N215)</f>
        <v>-58.078264616556318</v>
      </c>
      <c r="O216" s="23">
        <f>SUM(O215)</f>
        <v>-62.866344804130563</v>
      </c>
    </row>
    <row r="218" spans="2:15" ht="12.95" customHeight="1" x14ac:dyDescent="0.2">
      <c r="B218" s="24" t="s">
        <v>81</v>
      </c>
    </row>
    <row r="219" spans="2:15" ht="12.95" customHeight="1" x14ac:dyDescent="0.2">
      <c r="B219" s="1" t="s">
        <v>82</v>
      </c>
      <c r="H219" s="25"/>
      <c r="I219" s="25"/>
      <c r="J219" s="25"/>
      <c r="K219" s="16">
        <f>+K231</f>
        <v>0</v>
      </c>
      <c r="L219" s="16">
        <f ca="1">+L231</f>
        <v>0</v>
      </c>
      <c r="M219" s="16">
        <f ca="1">+M231</f>
        <v>0</v>
      </c>
      <c r="N219" s="16">
        <f ca="1">+N231</f>
        <v>0</v>
      </c>
      <c r="O219" s="16">
        <f ca="1">+O231</f>
        <v>0</v>
      </c>
    </row>
    <row r="220" spans="2:15" ht="12.95" customHeight="1" x14ac:dyDescent="0.2">
      <c r="B220" s="3" t="s">
        <v>83</v>
      </c>
      <c r="C220" s="3"/>
      <c r="D220" s="3"/>
      <c r="E220" s="3"/>
      <c r="F220" s="3"/>
      <c r="G220" s="3"/>
      <c r="H220" s="27"/>
      <c r="I220" s="27"/>
      <c r="J220" s="27"/>
      <c r="K220" s="66">
        <f ca="1">+K248</f>
        <v>0</v>
      </c>
      <c r="L220" s="66">
        <f ca="1">+L248</f>
        <v>0</v>
      </c>
      <c r="M220" s="66">
        <f ca="1">+M248</f>
        <v>0</v>
      </c>
      <c r="N220" s="66">
        <f ca="1">+N248</f>
        <v>0</v>
      </c>
      <c r="O220" s="66">
        <f ca="1">+O248</f>
        <v>0</v>
      </c>
    </row>
    <row r="221" spans="2:15" s="76" customFormat="1" ht="12.95" customHeight="1" x14ac:dyDescent="0.2">
      <c r="B221" s="69" t="s">
        <v>84</v>
      </c>
      <c r="C221" s="69"/>
      <c r="D221" s="69"/>
      <c r="E221" s="69"/>
      <c r="F221" s="69"/>
      <c r="G221" s="69"/>
      <c r="H221" s="210"/>
      <c r="I221" s="210"/>
      <c r="J221" s="210"/>
      <c r="K221" s="71">
        <f ca="1">+SUM(K219:K220)</f>
        <v>0</v>
      </c>
      <c r="L221" s="71">
        <f ca="1">+SUM(L219:L220)</f>
        <v>0</v>
      </c>
      <c r="M221" s="71">
        <f ca="1">+SUM(M219:M220)</f>
        <v>0</v>
      </c>
      <c r="N221" s="71">
        <f ca="1">+SUM(N219:N220)</f>
        <v>0</v>
      </c>
      <c r="O221" s="71">
        <f ca="1">+SUM(O219:O220)</f>
        <v>0</v>
      </c>
    </row>
    <row r="223" spans="2:15" ht="12.95" customHeight="1" x14ac:dyDescent="0.2">
      <c r="B223" s="207" t="s">
        <v>87</v>
      </c>
      <c r="C223" s="208"/>
      <c r="D223" s="208"/>
      <c r="E223" s="208"/>
      <c r="F223" s="208"/>
      <c r="G223" s="208"/>
      <c r="H223" s="209"/>
      <c r="I223" s="209"/>
      <c r="J223" s="209"/>
      <c r="K223" s="22">
        <f ca="1">+K212+K216+K221</f>
        <v>127.18045148789757</v>
      </c>
      <c r="L223" s="22">
        <f ca="1">+L212+L216+L221</f>
        <v>131.53014732706018</v>
      </c>
      <c r="M223" s="22">
        <f ca="1">+M212+M216+M221</f>
        <v>145.50321616836808</v>
      </c>
      <c r="N223" s="22">
        <f ca="1">+N212+N216+N221</f>
        <v>160.76290013339135</v>
      </c>
      <c r="O223" s="23">
        <f ca="1">+O212+O216+O221</f>
        <v>177.42067074761391</v>
      </c>
    </row>
    <row r="225" spans="1:15" ht="12.95" customHeight="1" x14ac:dyDescent="0.2">
      <c r="A225" s="1" t="s">
        <v>39</v>
      </c>
      <c r="B225" s="50" t="s">
        <v>102</v>
      </c>
      <c r="C225" s="51"/>
      <c r="D225" s="51"/>
      <c r="E225" s="51"/>
      <c r="F225" s="51"/>
      <c r="G225" s="51"/>
      <c r="H225" s="51"/>
      <c r="I225" s="51"/>
      <c r="J225" s="51"/>
      <c r="K225" s="51"/>
      <c r="L225" s="51"/>
      <c r="M225" s="51"/>
      <c r="N225" s="51"/>
      <c r="O225" s="73"/>
    </row>
    <row r="227" spans="1:15" ht="12.95" customHeight="1" x14ac:dyDescent="0.35">
      <c r="K227" s="10" t="str">
        <f>+$K$34</f>
        <v>Fiscal Year Ended 12/31</v>
      </c>
      <c r="L227" s="206"/>
      <c r="M227" s="206"/>
      <c r="N227" s="206"/>
      <c r="O227" s="206"/>
    </row>
    <row r="228" spans="1:15" ht="12.95" customHeight="1" x14ac:dyDescent="0.2">
      <c r="K228" s="13">
        <f>+$K$106</f>
        <v>2020</v>
      </c>
      <c r="L228" s="13">
        <f>+$L$106</f>
        <v>2021</v>
      </c>
      <c r="M228" s="13">
        <f>+$M$106</f>
        <v>2022</v>
      </c>
      <c r="N228" s="13">
        <f>+$N$106</f>
        <v>2023</v>
      </c>
      <c r="O228" s="13">
        <f>+$O$106</f>
        <v>2024</v>
      </c>
    </row>
    <row r="229" spans="1:15" ht="12.95" customHeight="1" x14ac:dyDescent="0.2">
      <c r="B229" s="24" t="s">
        <v>73</v>
      </c>
    </row>
    <row r="230" spans="1:15" ht="12.95" customHeight="1" x14ac:dyDescent="0.2">
      <c r="B230" s="3" t="str">
        <f>+B163</f>
        <v>First Lien Term Loan</v>
      </c>
      <c r="C230" s="3"/>
      <c r="D230" s="3"/>
      <c r="E230" s="3"/>
      <c r="F230" s="3"/>
      <c r="G230" s="3"/>
      <c r="H230" s="3"/>
      <c r="I230" s="3"/>
      <c r="J230" s="3"/>
      <c r="K230" s="211">
        <f>+K271</f>
        <v>0</v>
      </c>
      <c r="L230" s="211">
        <f ca="1">+L271</f>
        <v>0</v>
      </c>
      <c r="M230" s="211">
        <f ca="1">+M271</f>
        <v>0</v>
      </c>
      <c r="N230" s="211">
        <f ca="1">+N271</f>
        <v>0</v>
      </c>
      <c r="O230" s="211">
        <f ca="1">+O271</f>
        <v>0</v>
      </c>
    </row>
    <row r="231" spans="1:15" s="76" customFormat="1" ht="12.95" customHeight="1" x14ac:dyDescent="0.2">
      <c r="B231" s="69" t="s">
        <v>74</v>
      </c>
      <c r="C231" s="69"/>
      <c r="D231" s="69"/>
      <c r="E231" s="69"/>
      <c r="F231" s="69"/>
      <c r="G231" s="69"/>
      <c r="H231" s="212"/>
      <c r="I231" s="212"/>
      <c r="J231" s="212"/>
      <c r="K231" s="71">
        <f>+SUM(K230)</f>
        <v>0</v>
      </c>
      <c r="L231" s="71">
        <f ca="1">+SUM(L230)</f>
        <v>0</v>
      </c>
      <c r="M231" s="71">
        <f ca="1">+SUM(M230)</f>
        <v>0</v>
      </c>
      <c r="N231" s="71">
        <f ca="1">+SUM(N230)</f>
        <v>0</v>
      </c>
      <c r="O231" s="71">
        <f ca="1">+SUM(O230)</f>
        <v>0</v>
      </c>
    </row>
    <row r="233" spans="1:15" ht="12.95" customHeight="1" x14ac:dyDescent="0.2">
      <c r="B233" s="24" t="s">
        <v>196</v>
      </c>
    </row>
    <row r="234" spans="1:15" ht="12.95" customHeight="1" x14ac:dyDescent="0.2">
      <c r="B234" s="1" t="s">
        <v>122</v>
      </c>
      <c r="K234" s="16">
        <f ca="1">+K212+K216</f>
        <v>127.18045148789757</v>
      </c>
      <c r="L234" s="16">
        <f ca="1">+L212+L216</f>
        <v>131.53014732706018</v>
      </c>
      <c r="M234" s="16">
        <f ca="1">+M212+M216</f>
        <v>145.50321616836808</v>
      </c>
      <c r="N234" s="16">
        <f ca="1">+N212+N216</f>
        <v>160.76290013339135</v>
      </c>
      <c r="O234" s="16">
        <f ca="1">+O212+O216</f>
        <v>177.42067074761391</v>
      </c>
    </row>
    <row r="235" spans="1:15" ht="12.95" customHeight="1" x14ac:dyDescent="0.2">
      <c r="B235" s="1" t="s">
        <v>123</v>
      </c>
      <c r="K235" s="16">
        <f>+K231</f>
        <v>0</v>
      </c>
      <c r="L235" s="16">
        <f ca="1">+L231</f>
        <v>0</v>
      </c>
      <c r="M235" s="16">
        <f ca="1">+M231</f>
        <v>0</v>
      </c>
      <c r="N235" s="16">
        <f ca="1">+N231</f>
        <v>0</v>
      </c>
      <c r="O235" s="16">
        <f ca="1">+O231</f>
        <v>0</v>
      </c>
    </row>
    <row r="236" spans="1:15" s="76" customFormat="1" ht="12.95" customHeight="1" x14ac:dyDescent="0.2">
      <c r="B236" s="20" t="s">
        <v>75</v>
      </c>
      <c r="C236" s="21"/>
      <c r="D236" s="21"/>
      <c r="E236" s="21"/>
      <c r="F236" s="21"/>
      <c r="G236" s="21"/>
      <c r="H236" s="21"/>
      <c r="I236" s="21"/>
      <c r="J236" s="21"/>
      <c r="K236" s="22">
        <f ca="1">SUM(K234:K235)</f>
        <v>127.18045148789757</v>
      </c>
      <c r="L236" s="22">
        <f ca="1">SUM(L234:L235)</f>
        <v>131.53014732706018</v>
      </c>
      <c r="M236" s="22">
        <f ca="1">SUM(M234:M235)</f>
        <v>145.50321616836808</v>
      </c>
      <c r="N236" s="22">
        <f ca="1">SUM(N234:N235)</f>
        <v>160.76290013339135</v>
      </c>
      <c r="O236" s="23">
        <f ca="1">SUM(O234:O235)</f>
        <v>177.42067074761391</v>
      </c>
    </row>
    <row r="238" spans="1:15" ht="12.95" customHeight="1" x14ac:dyDescent="0.2">
      <c r="B238" s="1" t="s">
        <v>76</v>
      </c>
      <c r="H238" s="38"/>
      <c r="I238" s="38"/>
      <c r="J238" s="38"/>
      <c r="K238" s="16">
        <f>+J142</f>
        <v>100</v>
      </c>
      <c r="L238" s="16">
        <f ca="1">+K142</f>
        <v>227.18045148789759</v>
      </c>
      <c r="M238" s="16">
        <f ca="1">+L142</f>
        <v>358.71059881495773</v>
      </c>
      <c r="N238" s="16">
        <f ca="1">+M142</f>
        <v>504.21381498332585</v>
      </c>
      <c r="O238" s="16">
        <f ca="1">+N142</f>
        <v>664.97671511671717</v>
      </c>
    </row>
    <row r="239" spans="1:15" ht="12.95" customHeight="1" x14ac:dyDescent="0.2">
      <c r="B239" s="4" t="s">
        <v>77</v>
      </c>
      <c r="C239" s="4"/>
      <c r="D239" s="4"/>
      <c r="E239" s="4"/>
      <c r="F239" s="4"/>
      <c r="G239" s="4"/>
      <c r="H239" s="150"/>
      <c r="I239" s="150"/>
      <c r="J239" s="150"/>
      <c r="K239" s="35">
        <f>-$E$6</f>
        <v>-5</v>
      </c>
      <c r="L239" s="35">
        <f>-$E$6</f>
        <v>-5</v>
      </c>
      <c r="M239" s="35">
        <f>-$E$6</f>
        <v>-5</v>
      </c>
      <c r="N239" s="35">
        <f>-$E$6</f>
        <v>-5</v>
      </c>
      <c r="O239" s="35">
        <f>-$E$6</f>
        <v>-5</v>
      </c>
    </row>
    <row r="240" spans="1:15" ht="12.95" customHeight="1" x14ac:dyDescent="0.2">
      <c r="B240" s="4" t="s">
        <v>78</v>
      </c>
      <c r="C240" s="4"/>
      <c r="D240" s="4"/>
      <c r="E240" s="4"/>
      <c r="F240" s="4"/>
      <c r="G240" s="4"/>
      <c r="H240" s="150"/>
      <c r="I240" s="150"/>
      <c r="J240" s="150"/>
      <c r="K240" s="35">
        <f ca="1">+K236</f>
        <v>127.18045148789757</v>
      </c>
      <c r="L240" s="35">
        <f ca="1">+L236</f>
        <v>131.53014732706018</v>
      </c>
      <c r="M240" s="35">
        <f ca="1">+M236</f>
        <v>145.50321616836808</v>
      </c>
      <c r="N240" s="35">
        <f ca="1">+N236</f>
        <v>160.76290013339135</v>
      </c>
      <c r="O240" s="35">
        <f ca="1">+O236</f>
        <v>177.42067074761391</v>
      </c>
    </row>
    <row r="241" spans="1:15" s="76" customFormat="1" ht="12.95" customHeight="1" x14ac:dyDescent="0.2">
      <c r="B241" s="20" t="s">
        <v>86</v>
      </c>
      <c r="C241" s="21"/>
      <c r="D241" s="21"/>
      <c r="E241" s="21"/>
      <c r="F241" s="21"/>
      <c r="G241" s="21"/>
      <c r="H241" s="172"/>
      <c r="I241" s="172"/>
      <c r="J241" s="172"/>
      <c r="K241" s="22">
        <f ca="1">SUM(K238:K240)</f>
        <v>222.18045148789759</v>
      </c>
      <c r="L241" s="22">
        <f ca="1">SUM(L238:L240)</f>
        <v>353.71059881495773</v>
      </c>
      <c r="M241" s="22">
        <f ca="1">SUM(M238:M240)</f>
        <v>499.21381498332585</v>
      </c>
      <c r="N241" s="22">
        <f ca="1">SUM(N238:N240)</f>
        <v>659.97671511671717</v>
      </c>
      <c r="O241" s="23">
        <f ca="1">SUM(O238:O240)</f>
        <v>837.39738586433111</v>
      </c>
    </row>
    <row r="243" spans="1:15" s="76" customFormat="1" ht="12.95" customHeight="1" x14ac:dyDescent="0.2">
      <c r="B243" s="24" t="s">
        <v>79</v>
      </c>
    </row>
    <row r="244" spans="1:15" ht="12.95" customHeight="1" x14ac:dyDescent="0.2">
      <c r="B244" s="1" t="str">
        <f>+B162</f>
        <v>Revolving Credit Facility</v>
      </c>
      <c r="K244" s="16">
        <f ca="1">+K258</f>
        <v>0</v>
      </c>
      <c r="L244" s="16">
        <f ca="1">+L258</f>
        <v>0</v>
      </c>
      <c r="M244" s="16">
        <f ca="1">+M258</f>
        <v>0</v>
      </c>
      <c r="N244" s="16">
        <f ca="1">+N258</f>
        <v>0</v>
      </c>
      <c r="O244" s="16">
        <f ca="1">+O258</f>
        <v>0</v>
      </c>
    </row>
    <row r="245" spans="1:15" ht="12.95" customHeight="1" x14ac:dyDescent="0.2">
      <c r="B245" s="1" t="str">
        <f>+B163</f>
        <v>First Lien Term Loan</v>
      </c>
      <c r="K245" s="16">
        <f ca="1">+K272</f>
        <v>0</v>
      </c>
      <c r="L245" s="16">
        <f ca="1">+L272</f>
        <v>0</v>
      </c>
      <c r="M245" s="16">
        <f ca="1">+M272</f>
        <v>0</v>
      </c>
      <c r="N245" s="16">
        <f ca="1">+N272</f>
        <v>0</v>
      </c>
      <c r="O245" s="16">
        <f ca="1">+O272</f>
        <v>0</v>
      </c>
    </row>
    <row r="246" spans="1:15" ht="12.95" customHeight="1" x14ac:dyDescent="0.2">
      <c r="B246" s="1" t="str">
        <f>+B164</f>
        <v>Second Lien Term Loan</v>
      </c>
      <c r="K246" s="16">
        <f ca="1">+K283</f>
        <v>0</v>
      </c>
      <c r="L246" s="16">
        <f ca="1">+L283</f>
        <v>0</v>
      </c>
      <c r="M246" s="16">
        <f ca="1">+M283</f>
        <v>0</v>
      </c>
      <c r="N246" s="16">
        <f ca="1">+N283</f>
        <v>0</v>
      </c>
      <c r="O246" s="16">
        <f ca="1">+O283</f>
        <v>0</v>
      </c>
    </row>
    <row r="247" spans="1:15" ht="12.95" customHeight="1" x14ac:dyDescent="0.2">
      <c r="B247" s="3" t="str">
        <f>+B165</f>
        <v>Notes</v>
      </c>
      <c r="C247" s="3"/>
      <c r="D247" s="3"/>
      <c r="E247" s="3"/>
      <c r="F247" s="3"/>
      <c r="G247" s="3"/>
      <c r="H247" s="3"/>
      <c r="I247" s="3"/>
      <c r="J247" s="3"/>
      <c r="K247" s="66">
        <f ca="1">+K293</f>
        <v>0</v>
      </c>
      <c r="L247" s="66">
        <f ca="1">+L293</f>
        <v>0</v>
      </c>
      <c r="M247" s="66">
        <f ca="1">+M293</f>
        <v>0</v>
      </c>
      <c r="N247" s="66">
        <f ca="1">+N293</f>
        <v>0</v>
      </c>
      <c r="O247" s="66">
        <f ca="1">+O293</f>
        <v>0</v>
      </c>
    </row>
    <row r="248" spans="1:15" s="76" customFormat="1" ht="12.95" customHeight="1" x14ac:dyDescent="0.2">
      <c r="B248" s="69" t="s">
        <v>80</v>
      </c>
      <c r="C248" s="69"/>
      <c r="D248" s="69"/>
      <c r="E248" s="69"/>
      <c r="F248" s="69"/>
      <c r="G248" s="69"/>
      <c r="H248" s="69"/>
      <c r="I248" s="69"/>
      <c r="J248" s="69"/>
      <c r="K248" s="71">
        <f ca="1">SUM(K244:K247)</f>
        <v>0</v>
      </c>
      <c r="L248" s="71">
        <f ca="1">SUM(L244:L247)</f>
        <v>0</v>
      </c>
      <c r="M248" s="71">
        <f ca="1">SUM(M244:M247)</f>
        <v>0</v>
      </c>
      <c r="N248" s="71">
        <f ca="1">SUM(N244:N247)</f>
        <v>0</v>
      </c>
      <c r="O248" s="71">
        <f ca="1">SUM(O244:O247)</f>
        <v>0</v>
      </c>
    </row>
    <row r="250" spans="1:15" ht="12.95" customHeight="1" x14ac:dyDescent="0.2">
      <c r="A250" s="1" t="s">
        <v>39</v>
      </c>
      <c r="B250" s="50" t="s">
        <v>101</v>
      </c>
      <c r="C250" s="51"/>
      <c r="D250" s="51"/>
      <c r="E250" s="51"/>
      <c r="F250" s="51"/>
      <c r="G250" s="51"/>
      <c r="H250" s="51"/>
      <c r="I250" s="51"/>
      <c r="J250" s="51"/>
      <c r="K250" s="51"/>
      <c r="L250" s="51"/>
      <c r="M250" s="51"/>
      <c r="N250" s="51"/>
      <c r="O250" s="73"/>
    </row>
    <row r="252" spans="1:15" ht="12.95" customHeight="1" x14ac:dyDescent="0.35">
      <c r="K252" s="10" t="str">
        <f>+$K$34</f>
        <v>Fiscal Year Ended 12/31</v>
      </c>
      <c r="L252" s="206"/>
      <c r="M252" s="206"/>
      <c r="N252" s="206"/>
      <c r="O252" s="206"/>
    </row>
    <row r="253" spans="1:15" ht="12.95" customHeight="1" x14ac:dyDescent="0.2">
      <c r="K253" s="13">
        <f>+$K$106</f>
        <v>2020</v>
      </c>
      <c r="L253" s="13">
        <f>+$L$106</f>
        <v>2021</v>
      </c>
      <c r="M253" s="13">
        <f>+$M$106</f>
        <v>2022</v>
      </c>
      <c r="N253" s="13">
        <f>+$N$106</f>
        <v>2023</v>
      </c>
      <c r="O253" s="13">
        <f>+$O$106</f>
        <v>2024</v>
      </c>
    </row>
    <row r="254" spans="1:15" ht="12.95" customHeight="1" x14ac:dyDescent="0.2">
      <c r="B254" s="1" t="s">
        <v>95</v>
      </c>
      <c r="K254" s="213">
        <v>0.02</v>
      </c>
      <c r="L254" s="214">
        <f>+K254</f>
        <v>0.02</v>
      </c>
      <c r="M254" s="214">
        <f>+L254</f>
        <v>0.02</v>
      </c>
      <c r="N254" s="214">
        <f>+M254</f>
        <v>0.02</v>
      </c>
      <c r="O254" s="214">
        <f>+N254</f>
        <v>0.02</v>
      </c>
    </row>
    <row r="255" spans="1:15" s="4" customFormat="1" ht="12.95" customHeight="1" x14ac:dyDescent="0.2">
      <c r="K255" s="118"/>
      <c r="L255" s="118"/>
      <c r="M255" s="118"/>
      <c r="N255" s="118"/>
      <c r="O255" s="118"/>
    </row>
    <row r="256" spans="1:15" ht="12.95" customHeight="1" x14ac:dyDescent="0.2">
      <c r="B256" s="2" t="str">
        <f>+B244</f>
        <v>Revolving Credit Facility</v>
      </c>
      <c r="C256" s="3"/>
      <c r="D256" s="3"/>
      <c r="E256" s="3"/>
      <c r="F256" s="3"/>
      <c r="G256" s="3"/>
      <c r="H256" s="3"/>
      <c r="I256" s="3"/>
      <c r="J256" s="3"/>
      <c r="K256" s="4"/>
      <c r="L256" s="3"/>
      <c r="M256" s="3"/>
      <c r="N256" s="3"/>
      <c r="O256" s="3"/>
    </row>
    <row r="257" spans="2:15" ht="12.95" customHeight="1" x14ac:dyDescent="0.2">
      <c r="B257" s="4" t="s">
        <v>93</v>
      </c>
      <c r="C257" s="4"/>
      <c r="D257" s="4"/>
      <c r="E257" s="4"/>
      <c r="F257" s="4"/>
      <c r="G257" s="4"/>
      <c r="H257" s="4"/>
      <c r="I257" s="4"/>
      <c r="J257" s="4"/>
      <c r="K257" s="215">
        <f>+J162</f>
        <v>0</v>
      </c>
      <c r="L257" s="54">
        <f ca="1">+K259</f>
        <v>0</v>
      </c>
      <c r="M257" s="54">
        <f ca="1">+L259</f>
        <v>0</v>
      </c>
      <c r="N257" s="54">
        <f ca="1">+M259</f>
        <v>0</v>
      </c>
      <c r="O257" s="54">
        <f ca="1">+N259</f>
        <v>0</v>
      </c>
    </row>
    <row r="258" spans="2:15" ht="12.95" customHeight="1" x14ac:dyDescent="0.2">
      <c r="B258" s="3" t="s">
        <v>94</v>
      </c>
      <c r="C258" s="3"/>
      <c r="D258" s="3"/>
      <c r="E258" s="3"/>
      <c r="F258" s="3"/>
      <c r="G258" s="3"/>
      <c r="H258" s="3"/>
      <c r="I258" s="3"/>
      <c r="J258" s="3"/>
      <c r="K258" s="66">
        <f ca="1">-MIN(K241,K257)</f>
        <v>0</v>
      </c>
      <c r="L258" s="66">
        <f ca="1">-MIN(L241,L257)</f>
        <v>0</v>
      </c>
      <c r="M258" s="66">
        <f ca="1">-MIN(M241,M257)</f>
        <v>0</v>
      </c>
      <c r="N258" s="66">
        <f ca="1">-MIN(N241,N257)</f>
        <v>0</v>
      </c>
      <c r="O258" s="66">
        <f ca="1">-MIN(O241,O257)</f>
        <v>0</v>
      </c>
    </row>
    <row r="259" spans="2:15" ht="12.95" customHeight="1" x14ac:dyDescent="0.2">
      <c r="B259" s="69" t="s">
        <v>192</v>
      </c>
      <c r="C259" s="69"/>
      <c r="D259" s="69"/>
      <c r="E259" s="69"/>
      <c r="F259" s="69"/>
      <c r="G259" s="69"/>
      <c r="H259" s="69"/>
      <c r="I259" s="69"/>
      <c r="J259" s="69"/>
      <c r="K259" s="71">
        <f ca="1">SUM(K257:K258)</f>
        <v>0</v>
      </c>
      <c r="L259" s="71">
        <f ca="1">SUM(L257:L258)</f>
        <v>0</v>
      </c>
      <c r="M259" s="71">
        <f ca="1">SUM(M257:M258)</f>
        <v>0</v>
      </c>
      <c r="N259" s="71">
        <f ca="1">SUM(N257:N258)</f>
        <v>0</v>
      </c>
      <c r="O259" s="71">
        <f ca="1">SUM(O257:O258)</f>
        <v>0</v>
      </c>
    </row>
    <row r="260" spans="2:15" ht="12.95" customHeight="1" x14ac:dyDescent="0.2">
      <c r="B260" s="69"/>
      <c r="C260" s="69"/>
      <c r="D260" s="69"/>
      <c r="E260" s="69"/>
      <c r="F260" s="69"/>
      <c r="G260" s="69"/>
      <c r="H260" s="69"/>
      <c r="I260" s="69"/>
      <c r="J260" s="69"/>
      <c r="K260" s="69"/>
      <c r="L260" s="69"/>
      <c r="M260" s="69"/>
      <c r="N260" s="69"/>
      <c r="O260" s="69"/>
    </row>
    <row r="261" spans="2:15" s="4" customFormat="1" ht="12.95" customHeight="1" x14ac:dyDescent="0.2">
      <c r="B261" s="4" t="s">
        <v>91</v>
      </c>
      <c r="G261" s="4" t="s">
        <v>138</v>
      </c>
      <c r="I261" s="216">
        <f>+M28</f>
        <v>100</v>
      </c>
      <c r="K261" s="35">
        <f ca="1">+AVERAGE(K257,K259)</f>
        <v>0</v>
      </c>
      <c r="L261" s="35">
        <f ca="1">+AVERAGE(L257,L259)</f>
        <v>0</v>
      </c>
      <c r="M261" s="35">
        <f ca="1">+AVERAGE(M257,M259)</f>
        <v>0</v>
      </c>
      <c r="N261" s="35">
        <f ca="1">+AVERAGE(N257,N259)</f>
        <v>0</v>
      </c>
      <c r="O261" s="35">
        <f ca="1">+AVERAGE(O257,O259)</f>
        <v>0</v>
      </c>
    </row>
    <row r="262" spans="2:15" s="4" customFormat="1" ht="12.95" customHeight="1" x14ac:dyDescent="0.2">
      <c r="B262" s="4" t="s">
        <v>149</v>
      </c>
      <c r="G262" s="4" t="s">
        <v>96</v>
      </c>
      <c r="I262" s="217">
        <v>350</v>
      </c>
      <c r="K262" s="55">
        <f>+K$254+$I$262/10000</f>
        <v>5.5000000000000007E-2</v>
      </c>
      <c r="L262" s="55">
        <f>+L$254+$I$262/10000</f>
        <v>5.5000000000000007E-2</v>
      </c>
      <c r="M262" s="55">
        <f>+M$254+$I$262/10000</f>
        <v>5.5000000000000007E-2</v>
      </c>
      <c r="N262" s="55">
        <f>+N$254+$I$262/10000</f>
        <v>5.5000000000000007E-2</v>
      </c>
      <c r="O262" s="55">
        <f>+O$254+$I$262/10000</f>
        <v>5.5000000000000007E-2</v>
      </c>
    </row>
    <row r="263" spans="2:15" s="4" customFormat="1" ht="12.95" customHeight="1" x14ac:dyDescent="0.2">
      <c r="B263" s="4" t="s">
        <v>21</v>
      </c>
      <c r="K263" s="54">
        <f ca="1">+IF($E$5=1,K261,0)*K262</f>
        <v>0</v>
      </c>
      <c r="L263" s="54">
        <f ca="1">+IF($E$5=1,L261,0)*L262</f>
        <v>0</v>
      </c>
      <c r="M263" s="54">
        <f ca="1">+IF($E$5=1,M261,0)*M262</f>
        <v>0</v>
      </c>
      <c r="N263" s="54">
        <f ca="1">+IF($E$5=1,N261,0)*N262</f>
        <v>0</v>
      </c>
      <c r="O263" s="54">
        <f ca="1">+IF($E$5=1,O261,0)*O262</f>
        <v>0</v>
      </c>
    </row>
    <row r="264" spans="2:15" s="4" customFormat="1" ht="12.95" customHeight="1" x14ac:dyDescent="0.2">
      <c r="B264" s="4" t="s">
        <v>158</v>
      </c>
      <c r="G264" s="4" t="s">
        <v>147</v>
      </c>
      <c r="I264" s="218">
        <v>25</v>
      </c>
      <c r="K264" s="15">
        <f ca="1">+IF($E$5=1,($I$261-K261),0)*$I$264/10000</f>
        <v>0.25</v>
      </c>
      <c r="L264" s="15">
        <f ca="1">+IF($E$5=1,($I$261-L261),0)*$I$264/10000</f>
        <v>0.25</v>
      </c>
      <c r="M264" s="15">
        <f ca="1">+IF($E$5=1,($I$261-M261),0)*$I$264/10000</f>
        <v>0.25</v>
      </c>
      <c r="N264" s="15">
        <f ca="1">+IF($E$5=1,($I$261-N261),0)*$I$264/10000</f>
        <v>0.25</v>
      </c>
      <c r="O264" s="15">
        <f ca="1">+IF($E$5=1,($I$261-O261),0)*$I$264/10000</f>
        <v>0.25</v>
      </c>
    </row>
    <row r="265" spans="2:15" s="4" customFormat="1" ht="12.95" customHeight="1" x14ac:dyDescent="0.2">
      <c r="B265" s="3"/>
      <c r="C265" s="3"/>
      <c r="D265" s="3"/>
      <c r="E265" s="3"/>
      <c r="F265" s="3"/>
      <c r="G265" s="3"/>
      <c r="H265" s="3"/>
      <c r="I265" s="3"/>
      <c r="J265" s="3"/>
      <c r="K265" s="3"/>
      <c r="L265" s="3"/>
      <c r="M265" s="3"/>
      <c r="N265" s="3"/>
      <c r="O265" s="3"/>
    </row>
    <row r="266" spans="2:15" ht="12.95" customHeight="1" outlineLevel="1" x14ac:dyDescent="0.2"/>
    <row r="267" spans="2:15" ht="12.95" customHeight="1" outlineLevel="1" x14ac:dyDescent="0.2">
      <c r="B267" s="1" t="s">
        <v>148</v>
      </c>
      <c r="K267" s="14">
        <f ca="1">+IF(K259&gt;$I$261,1,0)</f>
        <v>0</v>
      </c>
      <c r="L267" s="14">
        <f ca="1">+IF(L259&gt;$I$261,1,0)</f>
        <v>0</v>
      </c>
      <c r="M267" s="14">
        <f ca="1">+IF(M259&gt;$I$261,1,0)</f>
        <v>0</v>
      </c>
      <c r="N267" s="14">
        <f ca="1">+IF(N259&gt;$I$261,1,0)</f>
        <v>0</v>
      </c>
      <c r="O267" s="14">
        <f ca="1">+IF(O259&gt;$I$261,1,0)</f>
        <v>0</v>
      </c>
    </row>
    <row r="269" spans="2:15" s="4" customFormat="1" ht="12.95" customHeight="1" x14ac:dyDescent="0.2">
      <c r="B269" s="2" t="str">
        <f>+B245</f>
        <v>First Lien Term Loan</v>
      </c>
      <c r="C269" s="2"/>
      <c r="D269" s="2"/>
      <c r="E269" s="2"/>
      <c r="F269" s="2"/>
      <c r="G269" s="2"/>
      <c r="H269" s="3"/>
      <c r="I269" s="2"/>
      <c r="J269" s="2"/>
      <c r="K269" s="2"/>
      <c r="L269" s="2"/>
      <c r="M269" s="2"/>
      <c r="N269" s="2"/>
      <c r="O269" s="2"/>
    </row>
    <row r="270" spans="2:15" s="4" customFormat="1" ht="12.95" customHeight="1" x14ac:dyDescent="0.2">
      <c r="B270" s="4" t="s">
        <v>93</v>
      </c>
      <c r="K270" s="215">
        <f>+J163</f>
        <v>0</v>
      </c>
      <c r="L270" s="54">
        <f ca="1">+K273</f>
        <v>0</v>
      </c>
      <c r="M270" s="54">
        <f ca="1">+L273</f>
        <v>0</v>
      </c>
      <c r="N270" s="54">
        <f ca="1">+M273</f>
        <v>0</v>
      </c>
      <c r="O270" s="54">
        <f ca="1">+N273</f>
        <v>0</v>
      </c>
    </row>
    <row r="271" spans="2:15" s="4" customFormat="1" ht="12.95" customHeight="1" x14ac:dyDescent="0.2">
      <c r="B271" s="33" t="s">
        <v>92</v>
      </c>
      <c r="G271" s="4" t="s">
        <v>97</v>
      </c>
      <c r="I271" s="219">
        <v>0.02</v>
      </c>
      <c r="K271" s="35">
        <f>-MIN($K$270*$I$271,K270)</f>
        <v>0</v>
      </c>
      <c r="L271" s="35">
        <f ca="1">-MIN($K$270*$I$271,L270)</f>
        <v>0</v>
      </c>
      <c r="M271" s="35">
        <f ca="1">-MIN($K$270*$I$271,M270)</f>
        <v>0</v>
      </c>
      <c r="N271" s="35">
        <f ca="1">-MIN($K$270*$I$271,N270)</f>
        <v>0</v>
      </c>
      <c r="O271" s="35">
        <f ca="1">-MIN($K$270*$I$271,O270)</f>
        <v>0</v>
      </c>
    </row>
    <row r="272" spans="2:15" ht="12.95" customHeight="1" x14ac:dyDescent="0.2">
      <c r="B272" s="3" t="s">
        <v>89</v>
      </c>
      <c r="C272" s="3"/>
      <c r="D272" s="3"/>
      <c r="E272" s="3"/>
      <c r="F272" s="3"/>
      <c r="G272" s="3"/>
      <c r="H272" s="3"/>
      <c r="I272" s="3"/>
      <c r="J272" s="3"/>
      <c r="K272" s="66">
        <f ca="1">-MIN(SUM(K270:K271),SUM(K241:K244))</f>
        <v>0</v>
      </c>
      <c r="L272" s="66">
        <f ca="1">-MIN(SUM(L270:L271),SUM(L241:L244))</f>
        <v>0</v>
      </c>
      <c r="M272" s="66">
        <f ca="1">-MIN(SUM(M270:M271),SUM(M241:M244))</f>
        <v>0</v>
      </c>
      <c r="N272" s="66">
        <f ca="1">-MIN(SUM(N270:N271),SUM(N241:N244))</f>
        <v>0</v>
      </c>
      <c r="O272" s="66">
        <f ca="1">-MIN(SUM(O270:O271),SUM(O241:O244))</f>
        <v>0</v>
      </c>
    </row>
    <row r="273" spans="2:15" ht="12.95" customHeight="1" x14ac:dyDescent="0.2">
      <c r="B273" s="69" t="s">
        <v>192</v>
      </c>
      <c r="C273" s="69"/>
      <c r="D273" s="69"/>
      <c r="E273" s="69"/>
      <c r="F273" s="69"/>
      <c r="G273" s="69"/>
      <c r="H273" s="4"/>
      <c r="I273" s="69"/>
      <c r="J273" s="69"/>
      <c r="K273" s="71">
        <f ca="1">SUM(K270:K272)</f>
        <v>0</v>
      </c>
      <c r="L273" s="71">
        <f ca="1">SUM(L270:L272)</f>
        <v>0</v>
      </c>
      <c r="M273" s="71">
        <f ca="1">SUM(M270:M272)</f>
        <v>0</v>
      </c>
      <c r="N273" s="71">
        <f ca="1">SUM(N270:N272)</f>
        <v>0</v>
      </c>
      <c r="O273" s="71">
        <f ca="1">SUM(O270:O272)</f>
        <v>0</v>
      </c>
    </row>
    <row r="274" spans="2:15" ht="12.95" customHeight="1" x14ac:dyDescent="0.2">
      <c r="B274" s="69"/>
      <c r="C274" s="69"/>
      <c r="D274" s="69"/>
      <c r="E274" s="69"/>
      <c r="F274" s="69"/>
      <c r="G274" s="69"/>
      <c r="H274" s="4"/>
      <c r="I274" s="69"/>
      <c r="J274" s="69"/>
      <c r="K274" s="69"/>
      <c r="L274" s="69"/>
      <c r="M274" s="69"/>
      <c r="N274" s="69"/>
      <c r="O274" s="69"/>
    </row>
    <row r="275" spans="2:15" ht="12.95" customHeight="1" x14ac:dyDescent="0.2">
      <c r="B275" s="1" t="s">
        <v>91</v>
      </c>
      <c r="K275" s="16">
        <f ca="1">+AVERAGE(K270,K273)</f>
        <v>0</v>
      </c>
      <c r="L275" s="16">
        <f ca="1">+AVERAGE(L270,L273)</f>
        <v>0</v>
      </c>
      <c r="M275" s="16">
        <f ca="1">+AVERAGE(M270,M273)</f>
        <v>0</v>
      </c>
      <c r="N275" s="16">
        <f ca="1">+AVERAGE(N270,N273)</f>
        <v>0</v>
      </c>
      <c r="O275" s="16">
        <f ca="1">+AVERAGE(O270,O273)</f>
        <v>0</v>
      </c>
    </row>
    <row r="276" spans="2:15" ht="12.95" customHeight="1" x14ac:dyDescent="0.2">
      <c r="B276" s="1" t="s">
        <v>149</v>
      </c>
      <c r="G276" s="4" t="s">
        <v>96</v>
      </c>
      <c r="I276" s="218">
        <v>350</v>
      </c>
      <c r="K276" s="55">
        <f>+K$254+$I$276/10000</f>
        <v>5.5000000000000007E-2</v>
      </c>
      <c r="L276" s="55">
        <f>+L$254+$I$276/10000</f>
        <v>5.5000000000000007E-2</v>
      </c>
      <c r="M276" s="55">
        <f>+M$254+$I$276/10000</f>
        <v>5.5000000000000007E-2</v>
      </c>
      <c r="N276" s="55">
        <f>+N$254+$I$276/10000</f>
        <v>5.5000000000000007E-2</v>
      </c>
      <c r="O276" s="55">
        <f>+O$254+$I$276/10000</f>
        <v>5.5000000000000007E-2</v>
      </c>
    </row>
    <row r="277" spans="2:15" s="4" customFormat="1" ht="12.95" customHeight="1" x14ac:dyDescent="0.2">
      <c r="B277" s="4" t="s">
        <v>21</v>
      </c>
      <c r="K277" s="54">
        <f ca="1">+IF($E$5=1,K275,0)*K276</f>
        <v>0</v>
      </c>
      <c r="L277" s="54">
        <f ca="1">+IF($E$5=1,L275,0)*L276</f>
        <v>0</v>
      </c>
      <c r="M277" s="54">
        <f ca="1">+IF($E$5=1,M275,0)*M276</f>
        <v>0</v>
      </c>
      <c r="N277" s="54">
        <f ca="1">+IF($E$5=1,N275,0)*N276</f>
        <v>0</v>
      </c>
      <c r="O277" s="54">
        <f ca="1">+IF($E$5=1,O275,0)*O276</f>
        <v>0</v>
      </c>
    </row>
    <row r="278" spans="2:15" s="4" customFormat="1" ht="12.95" customHeight="1" x14ac:dyDescent="0.2">
      <c r="B278" s="3"/>
      <c r="C278" s="3"/>
      <c r="D278" s="3"/>
      <c r="E278" s="3"/>
      <c r="F278" s="3"/>
      <c r="G278" s="3"/>
      <c r="H278" s="3"/>
      <c r="I278" s="3"/>
      <c r="J278" s="3"/>
      <c r="K278" s="3"/>
      <c r="L278" s="3"/>
      <c r="M278" s="3"/>
      <c r="N278" s="3"/>
      <c r="O278" s="3"/>
    </row>
    <row r="280" spans="2:15" s="4" customFormat="1" ht="12.95" customHeight="1" x14ac:dyDescent="0.2">
      <c r="B280" s="2" t="str">
        <f>+B246</f>
        <v>Second Lien Term Loan</v>
      </c>
      <c r="C280" s="2"/>
      <c r="D280" s="2"/>
      <c r="E280" s="2"/>
      <c r="F280" s="2"/>
      <c r="G280" s="2"/>
      <c r="H280" s="3"/>
      <c r="I280" s="2"/>
      <c r="J280" s="2"/>
      <c r="K280" s="2"/>
      <c r="L280" s="2"/>
      <c r="M280" s="2"/>
      <c r="N280" s="2"/>
      <c r="O280" s="2"/>
    </row>
    <row r="281" spans="2:15" s="4" customFormat="1" ht="12.95" customHeight="1" x14ac:dyDescent="0.2">
      <c r="B281" s="4" t="s">
        <v>93</v>
      </c>
      <c r="K281" s="220">
        <f>+J164</f>
        <v>0</v>
      </c>
      <c r="L281" s="54">
        <f ca="1">+K284</f>
        <v>0</v>
      </c>
      <c r="M281" s="54">
        <f t="shared" ref="M281:O281" ca="1" si="55">+L284</f>
        <v>0</v>
      </c>
      <c r="N281" s="54">
        <f t="shared" ca="1" si="55"/>
        <v>0</v>
      </c>
      <c r="O281" s="54">
        <f t="shared" ca="1" si="55"/>
        <v>0</v>
      </c>
    </row>
    <row r="282" spans="2:15" s="4" customFormat="1" ht="12.95" customHeight="1" x14ac:dyDescent="0.2">
      <c r="B282" s="4" t="s">
        <v>109</v>
      </c>
      <c r="K282" s="222">
        <f ca="1">+IF($E$5=1,K286,0)*K287*$I$286</f>
        <v>0</v>
      </c>
      <c r="L282" s="62">
        <f ca="1">+IF($E$5=1,L286,0)*L287*$I$286</f>
        <v>0</v>
      </c>
      <c r="M282" s="62">
        <f ca="1">+IF($E$5=1,M286,0)*M287*$I$286</f>
        <v>0</v>
      </c>
      <c r="N282" s="62">
        <f ca="1">+IF($E$5=1,N286,0)*N287*$I$286</f>
        <v>0</v>
      </c>
      <c r="O282" s="62">
        <f ca="1">+IF($E$5=1,O286,0)*O287*$I$286</f>
        <v>0</v>
      </c>
    </row>
    <row r="283" spans="2:15" s="4" customFormat="1" ht="12.95" customHeight="1" x14ac:dyDescent="0.2">
      <c r="B283" s="3" t="s">
        <v>89</v>
      </c>
      <c r="C283" s="3"/>
      <c r="D283" s="3"/>
      <c r="E283" s="3"/>
      <c r="F283" s="3"/>
      <c r="G283" s="3"/>
      <c r="H283" s="3"/>
      <c r="I283" s="3"/>
      <c r="J283" s="3"/>
      <c r="K283" s="66">
        <f ca="1">-MIN(SUM(K281:K282),SUM(K241:K245))</f>
        <v>0</v>
      </c>
      <c r="L283" s="66">
        <f ca="1">-MIN(SUM(L281:L282),SUM(L241:L245))</f>
        <v>0</v>
      </c>
      <c r="M283" s="66">
        <f ca="1">-MIN(SUM(M281:M282),SUM(M241:M245))</f>
        <v>0</v>
      </c>
      <c r="N283" s="66">
        <f ca="1">-MIN(SUM(N281:N282),SUM(N241:N245))</f>
        <v>0</v>
      </c>
      <c r="O283" s="66">
        <f ca="1">-MIN(SUM(O281:O282),SUM(O241:O245))</f>
        <v>0</v>
      </c>
    </row>
    <row r="284" spans="2:15" s="4" customFormat="1" ht="12.95" customHeight="1" x14ac:dyDescent="0.2">
      <c r="B284" s="69" t="s">
        <v>192</v>
      </c>
      <c r="C284" s="69"/>
      <c r="D284" s="69"/>
      <c r="E284" s="69"/>
      <c r="F284" s="69"/>
      <c r="G284" s="69"/>
      <c r="I284" s="69"/>
      <c r="J284" s="69"/>
      <c r="K284" s="71">
        <f ca="1">SUM(K281:K283)</f>
        <v>0</v>
      </c>
      <c r="L284" s="71">
        <f ca="1">SUM(L281:L283)</f>
        <v>0</v>
      </c>
      <c r="M284" s="71">
        <f ca="1">SUM(M281:M283)</f>
        <v>0</v>
      </c>
      <c r="N284" s="71">
        <f ca="1">SUM(N281:N283)</f>
        <v>0</v>
      </c>
      <c r="O284" s="71">
        <f ca="1">SUM(O281:O283)</f>
        <v>0</v>
      </c>
    </row>
    <row r="285" spans="2:15" ht="12.95" customHeight="1" x14ac:dyDescent="0.2">
      <c r="B285" s="69"/>
      <c r="C285" s="69"/>
      <c r="D285" s="69"/>
      <c r="E285" s="69"/>
      <c r="F285" s="69"/>
      <c r="G285" s="69"/>
      <c r="H285" s="4"/>
      <c r="I285" s="69"/>
      <c r="J285" s="69"/>
      <c r="K285" s="154"/>
      <c r="L285" s="154"/>
      <c r="M285" s="154"/>
      <c r="N285" s="154"/>
      <c r="O285" s="154"/>
    </row>
    <row r="286" spans="2:15" ht="12.95" customHeight="1" x14ac:dyDescent="0.2">
      <c r="B286" s="1" t="s">
        <v>91</v>
      </c>
      <c r="G286" s="1" t="s">
        <v>110</v>
      </c>
      <c r="I286" s="223">
        <v>1</v>
      </c>
      <c r="K286" s="16">
        <f ca="1">+AVERAGE(K281,K284)</f>
        <v>0</v>
      </c>
      <c r="L286" s="16">
        <f ca="1">+AVERAGE(L281,L284)</f>
        <v>0</v>
      </c>
      <c r="M286" s="16">
        <f ca="1">+AVERAGE(M281,M284)</f>
        <v>0</v>
      </c>
      <c r="N286" s="16">
        <f ca="1">+AVERAGE(N281,N284)</f>
        <v>0</v>
      </c>
      <c r="O286" s="16">
        <f ca="1">+AVERAGE(O281,O284)</f>
        <v>0</v>
      </c>
    </row>
    <row r="287" spans="2:15" ht="12.95" customHeight="1" x14ac:dyDescent="0.2">
      <c r="B287" s="1" t="s">
        <v>149</v>
      </c>
      <c r="G287" s="4" t="s">
        <v>96</v>
      </c>
      <c r="I287" s="217">
        <v>600</v>
      </c>
      <c r="K287" s="55">
        <f>+K$254+$I$287/10000</f>
        <v>0.08</v>
      </c>
      <c r="L287" s="55">
        <f>+L$254+$I$287/10000</f>
        <v>0.08</v>
      </c>
      <c r="M287" s="55">
        <f>+M$254+$I$287/10000</f>
        <v>0.08</v>
      </c>
      <c r="N287" s="55">
        <f>+N$254+$I$287/10000</f>
        <v>0.08</v>
      </c>
      <c r="O287" s="55">
        <f>+O$254+$I$287/10000</f>
        <v>0.08</v>
      </c>
    </row>
    <row r="288" spans="2:15" s="4" customFormat="1" ht="12.95" customHeight="1" x14ac:dyDescent="0.2">
      <c r="B288" s="4" t="s">
        <v>21</v>
      </c>
      <c r="K288" s="54">
        <f ca="1">+IF($E$5=1,K286,0)*K287*(1-$I$286)</f>
        <v>0</v>
      </c>
      <c r="L288" s="54">
        <f ca="1">+IF($E$5=1,L286,0)*L287*(1-$I$286)</f>
        <v>0</v>
      </c>
      <c r="M288" s="54">
        <f ca="1">+IF($E$5=1,M286,0)*M287*(1-$I$286)</f>
        <v>0</v>
      </c>
      <c r="N288" s="54">
        <f ca="1">+IF($E$5=1,N286,0)*N287*(1-$I$286)</f>
        <v>0</v>
      </c>
      <c r="O288" s="54">
        <f ca="1">+IF($E$5=1,O286,0)*O287*(1-$I$286)</f>
        <v>0</v>
      </c>
    </row>
    <row r="289" spans="1:15" s="4" customFormat="1" ht="12.95" customHeight="1" x14ac:dyDescent="0.2">
      <c r="B289" s="3"/>
      <c r="C289" s="3"/>
      <c r="D289" s="3"/>
      <c r="E289" s="3"/>
      <c r="F289" s="3"/>
      <c r="G289" s="3"/>
      <c r="H289" s="3"/>
      <c r="I289" s="3"/>
      <c r="J289" s="3"/>
      <c r="K289" s="3"/>
      <c r="L289" s="3"/>
      <c r="M289" s="3"/>
      <c r="N289" s="3"/>
      <c r="O289" s="3"/>
    </row>
    <row r="291" spans="1:15" s="4" customFormat="1" ht="12.95" customHeight="1" x14ac:dyDescent="0.2">
      <c r="B291" s="2" t="str">
        <f>+B247</f>
        <v>Notes</v>
      </c>
      <c r="C291" s="2"/>
      <c r="D291" s="2"/>
      <c r="E291" s="2"/>
      <c r="F291" s="2"/>
      <c r="G291" s="2"/>
      <c r="H291" s="3"/>
      <c r="I291" s="2"/>
      <c r="J291" s="2"/>
      <c r="K291" s="2"/>
      <c r="L291" s="2"/>
      <c r="M291" s="2"/>
      <c r="N291" s="2"/>
      <c r="O291" s="2"/>
    </row>
    <row r="292" spans="1:15" s="4" customFormat="1" ht="12.95" customHeight="1" x14ac:dyDescent="0.2">
      <c r="B292" s="4" t="s">
        <v>93</v>
      </c>
      <c r="K292" s="215">
        <f>+J165</f>
        <v>0</v>
      </c>
      <c r="L292" s="54">
        <f ca="1">+K294</f>
        <v>0</v>
      </c>
      <c r="M292" s="54">
        <f ca="1">+L294</f>
        <v>0</v>
      </c>
      <c r="N292" s="54">
        <f ca="1">+M294</f>
        <v>0</v>
      </c>
      <c r="O292" s="54">
        <f ca="1">+N294</f>
        <v>0</v>
      </c>
    </row>
    <row r="293" spans="1:15" ht="12.95" customHeight="1" x14ac:dyDescent="0.2">
      <c r="B293" s="3" t="s">
        <v>98</v>
      </c>
      <c r="C293" s="3"/>
      <c r="D293" s="3"/>
      <c r="E293" s="3"/>
      <c r="F293" s="3"/>
      <c r="G293" s="3" t="s">
        <v>99</v>
      </c>
      <c r="H293" s="133"/>
      <c r="I293" s="224">
        <v>2026</v>
      </c>
      <c r="J293" s="3"/>
      <c r="K293" s="66">
        <f ca="1">-MIN(K292,SUM(K241:K246))*IF($I$293=K$253,1,0)</f>
        <v>0</v>
      </c>
      <c r="L293" s="66">
        <f t="shared" ref="L293:O293" ca="1" si="56">-MIN(L292,SUM(L241:L246))*IF($I$293=L$253,1,0)</f>
        <v>0</v>
      </c>
      <c r="M293" s="66">
        <f t="shared" ca="1" si="56"/>
        <v>0</v>
      </c>
      <c r="N293" s="66">
        <f t="shared" ca="1" si="56"/>
        <v>0</v>
      </c>
      <c r="O293" s="66">
        <f t="shared" ca="1" si="56"/>
        <v>0</v>
      </c>
    </row>
    <row r="294" spans="1:15" ht="12.95" customHeight="1" x14ac:dyDescent="0.2">
      <c r="B294" s="69" t="s">
        <v>192</v>
      </c>
      <c r="C294" s="69"/>
      <c r="D294" s="69"/>
      <c r="E294" s="69"/>
      <c r="F294" s="69"/>
      <c r="G294" s="69"/>
      <c r="H294" s="4"/>
      <c r="I294" s="69"/>
      <c r="J294" s="69"/>
      <c r="K294" s="71">
        <f ca="1">SUM(K292:K293)</f>
        <v>0</v>
      </c>
      <c r="L294" s="71">
        <f ca="1">SUM(L292:L293)</f>
        <v>0</v>
      </c>
      <c r="M294" s="71">
        <f ca="1">SUM(M292:M293)</f>
        <v>0</v>
      </c>
      <c r="N294" s="71">
        <f ca="1">SUM(N292:N293)</f>
        <v>0</v>
      </c>
      <c r="O294" s="71">
        <f ca="1">SUM(O292:O293)</f>
        <v>0</v>
      </c>
    </row>
    <row r="295" spans="1:15" ht="12.95" customHeight="1" x14ac:dyDescent="0.2">
      <c r="B295" s="69"/>
      <c r="C295" s="69"/>
      <c r="D295" s="69"/>
      <c r="E295" s="69"/>
      <c r="F295" s="69"/>
      <c r="G295" s="69"/>
      <c r="H295" s="4"/>
      <c r="I295" s="69"/>
      <c r="J295" s="69"/>
      <c r="K295" s="69"/>
      <c r="L295" s="69"/>
      <c r="M295" s="69"/>
      <c r="N295" s="69"/>
      <c r="O295" s="69"/>
    </row>
    <row r="296" spans="1:15" ht="12.95" customHeight="1" x14ac:dyDescent="0.2">
      <c r="B296" s="1" t="s">
        <v>91</v>
      </c>
      <c r="K296" s="16">
        <f ca="1">+AVERAGE(K292,K294)</f>
        <v>0</v>
      </c>
      <c r="L296" s="16">
        <f ca="1">+AVERAGE(L292,L294)</f>
        <v>0</v>
      </c>
      <c r="M296" s="16">
        <f ca="1">+AVERAGE(M292,M294)</f>
        <v>0</v>
      </c>
      <c r="N296" s="16">
        <f ca="1">+AVERAGE(N292,N294)</f>
        <v>0</v>
      </c>
      <c r="O296" s="16">
        <f ca="1">+AVERAGE(O292,O294)</f>
        <v>0</v>
      </c>
    </row>
    <row r="297" spans="1:15" s="4" customFormat="1" ht="12.95" customHeight="1" x14ac:dyDescent="0.2">
      <c r="B297" s="4" t="s">
        <v>21</v>
      </c>
      <c r="G297" s="4" t="s">
        <v>111</v>
      </c>
      <c r="I297" s="225">
        <v>0.1</v>
      </c>
      <c r="K297" s="54">
        <f ca="1">+IF($E$5=1,K296,0)*$I$297</f>
        <v>0</v>
      </c>
      <c r="L297" s="54">
        <f ca="1">+IF($E$5=1,L296,0)*$I$297</f>
        <v>0</v>
      </c>
      <c r="M297" s="54">
        <f ca="1">+IF($E$5=1,M296,0)*$I$297</f>
        <v>0</v>
      </c>
      <c r="N297" s="54">
        <f ca="1">+IF($E$5=1,N296,0)*$I$297</f>
        <v>0</v>
      </c>
      <c r="O297" s="54">
        <f ca="1">+IF($E$5=1,O296,0)*$I$297</f>
        <v>0</v>
      </c>
    </row>
    <row r="298" spans="1:15" s="4" customFormat="1" ht="12.95" customHeight="1" x14ac:dyDescent="0.2">
      <c r="B298" s="3"/>
      <c r="C298" s="3"/>
      <c r="D298" s="3"/>
      <c r="E298" s="3"/>
      <c r="F298" s="3"/>
      <c r="G298" s="3"/>
      <c r="H298" s="3"/>
      <c r="I298" s="3"/>
      <c r="J298" s="3"/>
      <c r="K298" s="3"/>
      <c r="L298" s="3"/>
      <c r="M298" s="3"/>
      <c r="N298" s="3"/>
      <c r="O298" s="3"/>
    </row>
    <row r="300" spans="1:15" ht="12.95" customHeight="1" x14ac:dyDescent="0.2">
      <c r="A300" s="1" t="s">
        <v>39</v>
      </c>
      <c r="B300" s="50" t="s">
        <v>100</v>
      </c>
      <c r="C300" s="51"/>
      <c r="D300" s="51"/>
      <c r="E300" s="51"/>
      <c r="F300" s="51"/>
      <c r="G300" s="51"/>
      <c r="H300" s="51"/>
      <c r="I300" s="51"/>
      <c r="J300" s="51"/>
      <c r="K300" s="51"/>
      <c r="L300" s="51"/>
      <c r="M300" s="51"/>
      <c r="N300" s="51"/>
      <c r="O300" s="73"/>
    </row>
    <row r="302" spans="1:15" ht="12.95" customHeight="1" x14ac:dyDescent="0.35">
      <c r="K302" s="10" t="str">
        <f>+$K$34</f>
        <v>Fiscal Year Ended 12/31</v>
      </c>
      <c r="L302" s="206"/>
      <c r="M302" s="206"/>
      <c r="N302" s="206"/>
      <c r="O302" s="206"/>
    </row>
    <row r="303" spans="1:15" ht="12.95" customHeight="1" x14ac:dyDescent="0.2">
      <c r="K303" s="13">
        <f>+$K$106</f>
        <v>2020</v>
      </c>
      <c r="L303" s="13">
        <f>+$L$106</f>
        <v>2021</v>
      </c>
      <c r="M303" s="13">
        <f>+$M$106</f>
        <v>2022</v>
      </c>
      <c r="N303" s="13">
        <f>+$N$106</f>
        <v>2023</v>
      </c>
      <c r="O303" s="13">
        <f>+$O$106</f>
        <v>2024</v>
      </c>
    </row>
    <row r="304" spans="1:15" s="4" customFormat="1" ht="12.95" customHeight="1" x14ac:dyDescent="0.2">
      <c r="B304" s="4" t="s">
        <v>93</v>
      </c>
      <c r="K304" s="54">
        <f>+J142</f>
        <v>100</v>
      </c>
      <c r="L304" s="54">
        <f ca="1">+K142</f>
        <v>227.18045148789759</v>
      </c>
      <c r="M304" s="54">
        <f ca="1">+L142</f>
        <v>358.71059881495773</v>
      </c>
      <c r="N304" s="54">
        <f ca="1">+M142</f>
        <v>504.21381498332585</v>
      </c>
      <c r="O304" s="54">
        <f ca="1">+N142</f>
        <v>664.97671511671717</v>
      </c>
    </row>
    <row r="305" spans="2:15" s="4" customFormat="1" ht="12.95" customHeight="1" x14ac:dyDescent="0.2">
      <c r="B305" s="3" t="s">
        <v>106</v>
      </c>
      <c r="C305" s="3"/>
      <c r="D305" s="3"/>
      <c r="E305" s="3"/>
      <c r="F305" s="3"/>
      <c r="G305" s="3"/>
      <c r="H305" s="3"/>
      <c r="I305" s="3"/>
      <c r="J305" s="3"/>
      <c r="K305" s="66">
        <f ca="1">+K306-K304</f>
        <v>127.18045148789759</v>
      </c>
      <c r="L305" s="66">
        <f ca="1">+L306-L304</f>
        <v>131.53014732706015</v>
      </c>
      <c r="M305" s="66">
        <f ca="1">+M306-M304</f>
        <v>145.50321616836811</v>
      </c>
      <c r="N305" s="66">
        <f ca="1">+N306-N304</f>
        <v>160.76290013339133</v>
      </c>
      <c r="O305" s="66">
        <f ca="1">+O306-O304</f>
        <v>177.42067074761394</v>
      </c>
    </row>
    <row r="306" spans="2:15" s="69" customFormat="1" ht="12.95" customHeight="1" x14ac:dyDescent="0.2">
      <c r="B306" s="69" t="s">
        <v>192</v>
      </c>
      <c r="K306" s="71">
        <f ca="1">+K142</f>
        <v>227.18045148789759</v>
      </c>
      <c r="L306" s="71">
        <f ca="1">+L142</f>
        <v>358.71059881495773</v>
      </c>
      <c r="M306" s="71">
        <f ca="1">+M142</f>
        <v>504.21381498332585</v>
      </c>
      <c r="N306" s="71">
        <f ca="1">+N142</f>
        <v>664.97671511671717</v>
      </c>
      <c r="O306" s="71">
        <f ca="1">+O142</f>
        <v>842.39738586433111</v>
      </c>
    </row>
    <row r="307" spans="2:15" s="4" customFormat="1" ht="12.95" customHeight="1" x14ac:dyDescent="0.2"/>
    <row r="308" spans="2:15" ht="12.95" customHeight="1" x14ac:dyDescent="0.2">
      <c r="B308" s="4" t="s">
        <v>91</v>
      </c>
      <c r="C308" s="4"/>
      <c r="D308" s="4"/>
      <c r="E308" s="4"/>
      <c r="F308" s="4"/>
      <c r="G308" s="4"/>
      <c r="H308" s="4"/>
      <c r="I308" s="4"/>
      <c r="J308" s="4"/>
      <c r="K308" s="35">
        <f ca="1">+AVERAGE(K304,K306)</f>
        <v>163.59022574394879</v>
      </c>
      <c r="L308" s="35">
        <f ca="1">+AVERAGE(L304,L306)</f>
        <v>292.94552515142766</v>
      </c>
      <c r="M308" s="35">
        <f ca="1">+AVERAGE(M304,M306)</f>
        <v>431.46220689914179</v>
      </c>
      <c r="N308" s="35">
        <f ca="1">+AVERAGE(N304,N306)</f>
        <v>584.59526505002145</v>
      </c>
      <c r="O308" s="35">
        <f ca="1">+AVERAGE(O304,O306)</f>
        <v>753.68705049052414</v>
      </c>
    </row>
    <row r="309" spans="2:15" ht="12.95" customHeight="1" x14ac:dyDescent="0.2">
      <c r="B309" s="1" t="s">
        <v>107</v>
      </c>
      <c r="G309" s="85" t="s">
        <v>193</v>
      </c>
      <c r="H309" s="4"/>
      <c r="I309" s="225">
        <v>0.01</v>
      </c>
      <c r="K309" s="15">
        <f ca="1">+IF($E$5=1,K308,0)*$I$309</f>
        <v>1.6359022574394879</v>
      </c>
      <c r="L309" s="15">
        <f ca="1">+IF($E$5=1,L308,0)*$I$309</f>
        <v>2.9294552515142764</v>
      </c>
      <c r="M309" s="15">
        <f ca="1">+IF($E$5=1,M308,0)*$I$309</f>
        <v>4.3146220689914179</v>
      </c>
      <c r="N309" s="15">
        <f ca="1">+IF($E$5=1,N308,0)*$I$309</f>
        <v>5.8459526505002151</v>
      </c>
      <c r="O309" s="15">
        <f ca="1">+IF($E$5=1,O308,0)*$I$309</f>
        <v>7.5368705049052416</v>
      </c>
    </row>
    <row r="310" spans="2:15" s="4" customFormat="1" ht="12.95" customHeight="1" x14ac:dyDescent="0.2">
      <c r="B310" s="3"/>
      <c r="C310" s="3"/>
      <c r="D310" s="3"/>
      <c r="E310" s="3"/>
      <c r="F310" s="3"/>
      <c r="G310" s="3"/>
      <c r="H310" s="3"/>
      <c r="I310" s="3"/>
      <c r="J310" s="3"/>
      <c r="K310" s="3"/>
      <c r="L310" s="3"/>
      <c r="M310" s="3"/>
      <c r="N310" s="3"/>
      <c r="O310" s="3"/>
    </row>
    <row r="312" spans="2:15" ht="12.95" customHeight="1" x14ac:dyDescent="0.2">
      <c r="B312" s="1" t="s">
        <v>197</v>
      </c>
    </row>
    <row r="313" spans="2:15" ht="12.95" customHeight="1" x14ac:dyDescent="0.2">
      <c r="B313" s="1" t="str">
        <f>+B256&amp;" - Commitment Fee"</f>
        <v>Revolving Credit Facility - Commitment Fee</v>
      </c>
      <c r="K313" s="15">
        <f ca="1">+K264</f>
        <v>0.25</v>
      </c>
      <c r="L313" s="15">
        <f ca="1">+L264</f>
        <v>0.25</v>
      </c>
      <c r="M313" s="15">
        <f ca="1">+M264</f>
        <v>0.25</v>
      </c>
      <c r="N313" s="15">
        <f ca="1">+N264</f>
        <v>0.25</v>
      </c>
      <c r="O313" s="15">
        <f ca="1">+O264</f>
        <v>0.25</v>
      </c>
    </row>
    <row r="314" spans="2:15" ht="12.95" customHeight="1" x14ac:dyDescent="0.2">
      <c r="B314" s="1" t="str">
        <f>+B256&amp;" - Drawn Interest Expense"</f>
        <v>Revolving Credit Facility - Drawn Interest Expense</v>
      </c>
      <c r="K314" s="16">
        <f ca="1">+K263</f>
        <v>0</v>
      </c>
      <c r="L314" s="16">
        <f ca="1">+L263</f>
        <v>0</v>
      </c>
      <c r="M314" s="16">
        <f ca="1">+M263</f>
        <v>0</v>
      </c>
      <c r="N314" s="16">
        <f ca="1">+N263</f>
        <v>0</v>
      </c>
      <c r="O314" s="16">
        <f ca="1">+O263</f>
        <v>0</v>
      </c>
    </row>
    <row r="315" spans="2:15" ht="12.95" customHeight="1" x14ac:dyDescent="0.2">
      <c r="B315" s="1" t="str">
        <f>+B269</f>
        <v>First Lien Term Loan</v>
      </c>
      <c r="K315" s="16">
        <f ca="1">+K277</f>
        <v>0</v>
      </c>
      <c r="L315" s="16">
        <f ca="1">+L277</f>
        <v>0</v>
      </c>
      <c r="M315" s="16">
        <f ca="1">+M277</f>
        <v>0</v>
      </c>
      <c r="N315" s="16">
        <f ca="1">+N277</f>
        <v>0</v>
      </c>
      <c r="O315" s="16">
        <f ca="1">+O277</f>
        <v>0</v>
      </c>
    </row>
    <row r="316" spans="2:15" ht="12.95" customHeight="1" x14ac:dyDescent="0.2">
      <c r="B316" s="1" t="str">
        <f>+B280</f>
        <v>Second Lien Term Loan</v>
      </c>
      <c r="K316" s="16">
        <f ca="1">+K288</f>
        <v>0</v>
      </c>
      <c r="L316" s="16">
        <f ca="1">+L288</f>
        <v>0</v>
      </c>
      <c r="M316" s="16">
        <f ca="1">+M288</f>
        <v>0</v>
      </c>
      <c r="N316" s="16">
        <f ca="1">+N288</f>
        <v>0</v>
      </c>
      <c r="O316" s="16">
        <f ca="1">+O288</f>
        <v>0</v>
      </c>
    </row>
    <row r="317" spans="2:15" ht="12.95" customHeight="1" x14ac:dyDescent="0.2">
      <c r="B317" s="4" t="str">
        <f>+B291</f>
        <v>Notes</v>
      </c>
      <c r="C317" s="4"/>
      <c r="D317" s="4"/>
      <c r="E317" s="4"/>
      <c r="F317" s="4"/>
      <c r="G317" s="4"/>
      <c r="H317" s="4"/>
      <c r="I317" s="4"/>
      <c r="J317" s="4"/>
      <c r="K317" s="35">
        <f ca="1">+K297</f>
        <v>0</v>
      </c>
      <c r="L317" s="35">
        <f ca="1">+L297</f>
        <v>0</v>
      </c>
      <c r="M317" s="35">
        <f ca="1">+M297</f>
        <v>0</v>
      </c>
      <c r="N317" s="35">
        <f ca="1">+N297</f>
        <v>0</v>
      </c>
      <c r="O317" s="35">
        <f ca="1">+O297</f>
        <v>0</v>
      </c>
    </row>
    <row r="318" spans="2:15" ht="12.95" customHeight="1" x14ac:dyDescent="0.2">
      <c r="B318" s="226" t="s">
        <v>112</v>
      </c>
      <c r="C318" s="226"/>
      <c r="D318" s="226"/>
      <c r="E318" s="226"/>
      <c r="F318" s="226"/>
      <c r="G318" s="226"/>
      <c r="H318" s="226"/>
      <c r="I318" s="226"/>
      <c r="J318" s="226"/>
      <c r="K318" s="37">
        <f ca="1">SUM(K313:K317)</f>
        <v>0.25</v>
      </c>
      <c r="L318" s="37">
        <f ca="1">SUM(L313:L317)</f>
        <v>0.25</v>
      </c>
      <c r="M318" s="37">
        <f ca="1">SUM(M313:M317)</f>
        <v>0.25</v>
      </c>
      <c r="N318" s="37">
        <f ca="1">SUM(N313:N317)</f>
        <v>0.25</v>
      </c>
      <c r="O318" s="37">
        <f ca="1">SUM(O313:O317)</f>
        <v>0.25</v>
      </c>
    </row>
    <row r="319" spans="2:15" ht="12.95" customHeight="1" x14ac:dyDescent="0.2">
      <c r="B319" s="3" t="s">
        <v>113</v>
      </c>
      <c r="C319" s="3"/>
      <c r="D319" s="3"/>
      <c r="E319" s="3"/>
      <c r="F319" s="3"/>
      <c r="G319" s="3"/>
      <c r="H319" s="3"/>
      <c r="I319" s="3"/>
      <c r="J319" s="3"/>
      <c r="K319" s="62">
        <f ca="1">+K282</f>
        <v>0</v>
      </c>
      <c r="L319" s="62">
        <f t="shared" ref="L319:O319" ca="1" si="57">+L282</f>
        <v>0</v>
      </c>
      <c r="M319" s="62">
        <f t="shared" ca="1" si="57"/>
        <v>0</v>
      </c>
      <c r="N319" s="62">
        <f t="shared" ca="1" si="57"/>
        <v>0</v>
      </c>
      <c r="O319" s="62">
        <f t="shared" ca="1" si="57"/>
        <v>0</v>
      </c>
    </row>
    <row r="320" spans="2:15" s="76" customFormat="1" ht="12.95" customHeight="1" x14ac:dyDescent="0.2">
      <c r="B320" s="69" t="s">
        <v>108</v>
      </c>
      <c r="C320" s="69"/>
      <c r="D320" s="69"/>
      <c r="E320" s="69"/>
      <c r="F320" s="69"/>
      <c r="G320" s="69"/>
      <c r="H320" s="69"/>
      <c r="I320" s="69"/>
      <c r="J320" s="69"/>
      <c r="K320" s="96">
        <f ca="1">+SUM(K318:K319)</f>
        <v>0.25</v>
      </c>
      <c r="L320" s="96">
        <f ca="1">+SUM(L318:L319)</f>
        <v>0.25</v>
      </c>
      <c r="M320" s="96">
        <f ca="1">+SUM(M318:M319)</f>
        <v>0.25</v>
      </c>
      <c r="N320" s="96">
        <f ca="1">+SUM(N318:N319)</f>
        <v>0.25</v>
      </c>
      <c r="O320" s="96">
        <f ca="1">+SUM(O318:O319)</f>
        <v>0.25</v>
      </c>
    </row>
    <row r="322" spans="1:15" ht="12.95" customHeight="1" x14ac:dyDescent="0.2">
      <c r="A322" s="1" t="s">
        <v>39</v>
      </c>
      <c r="B322" s="50" t="s">
        <v>199</v>
      </c>
      <c r="C322" s="51"/>
      <c r="D322" s="51"/>
      <c r="E322" s="51"/>
      <c r="F322" s="51"/>
      <c r="G322" s="51"/>
      <c r="H322" s="51"/>
      <c r="I322" s="51"/>
      <c r="J322" s="51"/>
      <c r="K322" s="51"/>
      <c r="L322" s="51"/>
      <c r="M322" s="51"/>
      <c r="N322" s="51"/>
      <c r="O322" s="73"/>
    </row>
    <row r="324" spans="1:15" ht="12.95" customHeight="1" x14ac:dyDescent="0.35">
      <c r="K324" s="10" t="str">
        <f>+$K$34</f>
        <v>Fiscal Year Ended 12/31</v>
      </c>
      <c r="L324" s="11"/>
      <c r="M324" s="11"/>
      <c r="N324" s="11"/>
      <c r="O324" s="11"/>
    </row>
    <row r="325" spans="1:15" ht="12.95" customHeight="1" x14ac:dyDescent="0.2">
      <c r="K325" s="13">
        <f>+K141</f>
        <v>2020</v>
      </c>
      <c r="L325" s="13">
        <f>+K325+1</f>
        <v>2021</v>
      </c>
      <c r="M325" s="13">
        <f>+L325+1</f>
        <v>2022</v>
      </c>
      <c r="N325" s="13">
        <f>+M325+1</f>
        <v>2023</v>
      </c>
      <c r="O325" s="13">
        <f>+N325+1</f>
        <v>2024</v>
      </c>
    </row>
    <row r="326" spans="1:15" ht="12.95" customHeight="1" x14ac:dyDescent="0.2">
      <c r="B326" s="1" t="s">
        <v>35</v>
      </c>
      <c r="K326" s="54">
        <f>+K123</f>
        <v>211.13616104999991</v>
      </c>
      <c r="L326" s="54">
        <f t="shared" ref="L326:O326" si="58">+L123</f>
        <v>231.22441616399993</v>
      </c>
      <c r="M326" s="54">
        <f t="shared" si="58"/>
        <v>253.09045980481494</v>
      </c>
      <c r="N326" s="54">
        <f t="shared" si="58"/>
        <v>276.88474991614049</v>
      </c>
      <c r="O326" s="54">
        <f t="shared" si="58"/>
        <v>302.770097390008</v>
      </c>
    </row>
    <row r="327" spans="1:15" ht="12.95" customHeight="1" x14ac:dyDescent="0.2">
      <c r="B327" s="4" t="s">
        <v>200</v>
      </c>
      <c r="C327" s="4"/>
      <c r="D327" s="4"/>
      <c r="E327" s="4"/>
      <c r="F327" s="4"/>
      <c r="G327" s="4"/>
      <c r="H327" s="4"/>
      <c r="I327" s="4"/>
      <c r="J327" s="4"/>
      <c r="K327" s="253">
        <f>+$M$21</f>
        <v>10</v>
      </c>
      <c r="L327" s="253">
        <f>+$M$21</f>
        <v>10</v>
      </c>
      <c r="M327" s="253">
        <f>+$M$21</f>
        <v>10</v>
      </c>
      <c r="N327" s="253">
        <f>+$M$21</f>
        <v>10</v>
      </c>
      <c r="O327" s="253">
        <f>+$M$21</f>
        <v>10</v>
      </c>
    </row>
    <row r="328" spans="1:15" ht="12.95" customHeight="1" x14ac:dyDescent="0.2">
      <c r="B328" s="226" t="s">
        <v>201</v>
      </c>
      <c r="C328" s="226"/>
      <c r="D328" s="226"/>
      <c r="E328" s="226"/>
      <c r="F328" s="226"/>
      <c r="G328" s="226"/>
      <c r="H328" s="226"/>
      <c r="I328" s="226"/>
      <c r="J328" s="226"/>
      <c r="K328" s="37">
        <f>+K326*K327</f>
        <v>2111.3616104999992</v>
      </c>
      <c r="L328" s="37">
        <f t="shared" ref="L328:O328" si="59">+L326*L327</f>
        <v>2312.2441616399992</v>
      </c>
      <c r="M328" s="37">
        <f t="shared" si="59"/>
        <v>2530.9045980481496</v>
      </c>
      <c r="N328" s="37">
        <f t="shared" si="59"/>
        <v>2768.8474991614048</v>
      </c>
      <c r="O328" s="37">
        <f t="shared" si="59"/>
        <v>3027.70097390008</v>
      </c>
    </row>
    <row r="329" spans="1:15" ht="12.95" customHeight="1" x14ac:dyDescent="0.2">
      <c r="B329" s="1" t="s">
        <v>202</v>
      </c>
      <c r="K329" s="16">
        <f ca="1">-K166</f>
        <v>-150</v>
      </c>
      <c r="L329" s="16">
        <f t="shared" ref="L329:O329" ca="1" si="60">-L166</f>
        <v>-150</v>
      </c>
      <c r="M329" s="16">
        <f t="shared" ca="1" si="60"/>
        <v>-150</v>
      </c>
      <c r="N329" s="16">
        <f t="shared" ca="1" si="60"/>
        <v>-150</v>
      </c>
      <c r="O329" s="16">
        <f t="shared" ca="1" si="60"/>
        <v>-150</v>
      </c>
    </row>
    <row r="330" spans="1:15" ht="12.95" customHeight="1" x14ac:dyDescent="0.2">
      <c r="B330" s="4" t="s">
        <v>203</v>
      </c>
      <c r="C330" s="4"/>
      <c r="D330" s="4"/>
      <c r="E330" s="4"/>
      <c r="F330" s="4"/>
      <c r="G330" s="4"/>
      <c r="H330" s="4"/>
      <c r="I330" s="4"/>
      <c r="J330" s="4"/>
      <c r="K330" s="35">
        <f ca="1">+K142</f>
        <v>227.18045148789759</v>
      </c>
      <c r="L330" s="35">
        <f t="shared" ref="L330:O330" ca="1" si="61">+L142</f>
        <v>358.71059881495773</v>
      </c>
      <c r="M330" s="35">
        <f t="shared" ca="1" si="61"/>
        <v>504.21381498332585</v>
      </c>
      <c r="N330" s="35">
        <f t="shared" ca="1" si="61"/>
        <v>664.97671511671717</v>
      </c>
      <c r="O330" s="35">
        <f t="shared" ca="1" si="61"/>
        <v>842.39738586433111</v>
      </c>
    </row>
    <row r="331" spans="1:15" ht="12.95" customHeight="1" x14ac:dyDescent="0.2">
      <c r="B331" s="226" t="s">
        <v>204</v>
      </c>
      <c r="C331" s="226"/>
      <c r="D331" s="226"/>
      <c r="E331" s="226"/>
      <c r="F331" s="226"/>
      <c r="G331" s="226"/>
      <c r="H331" s="226"/>
      <c r="I331" s="226"/>
      <c r="J331" s="226"/>
      <c r="K331" s="37">
        <f ca="1">+SUM(K328:K330)</f>
        <v>2188.5420619878969</v>
      </c>
      <c r="L331" s="37">
        <f t="shared" ref="L331:O331" ca="1" si="62">+SUM(L328:L330)</f>
        <v>2520.9547604549571</v>
      </c>
      <c r="M331" s="37">
        <f t="shared" ca="1" si="62"/>
        <v>2885.1184130314755</v>
      </c>
      <c r="N331" s="37">
        <f t="shared" ca="1" si="62"/>
        <v>3283.8242142781219</v>
      </c>
      <c r="O331" s="37">
        <f t="shared" ca="1" si="62"/>
        <v>3720.0983597644113</v>
      </c>
    </row>
    <row r="332" spans="1:15" ht="12.95" customHeight="1" x14ac:dyDescent="0.2">
      <c r="B332" s="3" t="s">
        <v>336</v>
      </c>
      <c r="C332" s="3"/>
      <c r="D332" s="3"/>
      <c r="E332" s="3"/>
      <c r="F332" s="3"/>
      <c r="G332" s="3"/>
      <c r="H332" s="3"/>
      <c r="I332" s="3"/>
      <c r="J332" s="3"/>
      <c r="K332" s="66">
        <f>-$F$55</f>
        <v>-2</v>
      </c>
      <c r="L332" s="66">
        <f>-$F$55</f>
        <v>-2</v>
      </c>
      <c r="M332" s="66">
        <f>-$F$55</f>
        <v>-2</v>
      </c>
      <c r="N332" s="66">
        <f>-$F$55</f>
        <v>-2</v>
      </c>
      <c r="O332" s="66">
        <f>-$F$55</f>
        <v>-2</v>
      </c>
    </row>
    <row r="333" spans="1:15" ht="12.95" customHeight="1" x14ac:dyDescent="0.2">
      <c r="B333" s="69" t="s">
        <v>207</v>
      </c>
      <c r="C333" s="69"/>
      <c r="D333" s="69"/>
      <c r="E333" s="69"/>
      <c r="F333" s="69"/>
      <c r="G333" s="69"/>
      <c r="H333" s="69"/>
      <c r="I333" s="69"/>
      <c r="J333" s="69"/>
      <c r="K333" s="71">
        <f ca="1">+MAX(SUM(K331:K332),0)</f>
        <v>2186.5420619878969</v>
      </c>
      <c r="L333" s="71">
        <f t="shared" ref="L333:O333" ca="1" si="63">+MAX(SUM(L331:L332),0)</f>
        <v>2518.9547604549571</v>
      </c>
      <c r="M333" s="71">
        <f t="shared" ca="1" si="63"/>
        <v>2883.1184130314755</v>
      </c>
      <c r="N333" s="71">
        <f t="shared" ca="1" si="63"/>
        <v>3281.8242142781219</v>
      </c>
      <c r="O333" s="71">
        <f t="shared" ca="1" si="63"/>
        <v>3718.0983597644113</v>
      </c>
    </row>
    <row r="335" spans="1:15" ht="12.95" customHeight="1" x14ac:dyDescent="0.2">
      <c r="F335" s="1" t="s">
        <v>205</v>
      </c>
      <c r="J335" s="250">
        <f>+M30</f>
        <v>0.1</v>
      </c>
      <c r="K335" s="15">
        <f ca="1">+K333*$J$335</f>
        <v>218.65420619878969</v>
      </c>
      <c r="L335" s="15">
        <f t="shared" ref="L335:O335" ca="1" si="64">+L333*$J$335</f>
        <v>251.89547604549571</v>
      </c>
      <c r="M335" s="15">
        <f t="shared" ca="1" si="64"/>
        <v>288.31184130314756</v>
      </c>
      <c r="N335" s="15">
        <f t="shared" ca="1" si="64"/>
        <v>328.18242142781219</v>
      </c>
      <c r="O335" s="15">
        <f t="shared" ca="1" si="64"/>
        <v>371.80983597644115</v>
      </c>
    </row>
    <row r="337" spans="6:15" ht="12.95" customHeight="1" x14ac:dyDescent="0.2">
      <c r="F337" s="1" t="s">
        <v>208</v>
      </c>
      <c r="K337" s="254">
        <f ca="1">+K331-K335</f>
        <v>1969.8878557891071</v>
      </c>
      <c r="L337" s="254">
        <f t="shared" ref="L337:O337" ca="1" si="65">+L331-L335</f>
        <v>2269.0592844094613</v>
      </c>
      <c r="M337" s="254">
        <f t="shared" ca="1" si="65"/>
        <v>2596.806571728328</v>
      </c>
      <c r="N337" s="254">
        <f t="shared" ca="1" si="65"/>
        <v>2955.6417928503097</v>
      </c>
      <c r="O337" s="254">
        <f t="shared" ca="1" si="65"/>
        <v>3348.28852378797</v>
      </c>
    </row>
    <row r="338" spans="6:15" customFormat="1" ht="3" customHeight="1" x14ac:dyDescent="0.25"/>
    <row r="339" spans="6:15" ht="12.95" customHeight="1" x14ac:dyDescent="0.2">
      <c r="J339" s="26" t="s">
        <v>183</v>
      </c>
    </row>
    <row r="340" spans="6:15" ht="12.95" customHeight="1" x14ac:dyDescent="0.2">
      <c r="G340" s="29" t="s">
        <v>210</v>
      </c>
      <c r="H340" s="29" t="s">
        <v>209</v>
      </c>
      <c r="J340" s="26" t="s">
        <v>212</v>
      </c>
    </row>
    <row r="341" spans="6:15" ht="12.95" customHeight="1" x14ac:dyDescent="0.2">
      <c r="F341" s="252">
        <f t="array" ref="F341:F345">+TRANSPOSE(K325:O325)</f>
        <v>2020</v>
      </c>
      <c r="G341" s="258">
        <f ca="1">+IRR(J341:O341)</f>
        <v>983.94392789456447</v>
      </c>
      <c r="H341" s="259">
        <f ca="1">+SUM(K341:O341)/-J341</f>
        <v>984.94392789455355</v>
      </c>
      <c r="J341" s="255">
        <f>-$F$55</f>
        <v>-2</v>
      </c>
      <c r="K341" s="256">
        <f t="shared" ref="K341:O345" ca="1" si="66">+IF(K$325=$F341,K$337,0)</f>
        <v>1969.8878557891071</v>
      </c>
      <c r="L341" s="256">
        <f t="shared" si="66"/>
        <v>0</v>
      </c>
      <c r="M341" s="256">
        <f t="shared" si="66"/>
        <v>0</v>
      </c>
      <c r="N341" s="256">
        <f t="shared" si="66"/>
        <v>0</v>
      </c>
      <c r="O341" s="257">
        <f t="shared" si="66"/>
        <v>0</v>
      </c>
    </row>
    <row r="342" spans="6:15" ht="12.95" customHeight="1" x14ac:dyDescent="0.2">
      <c r="F342" s="252">
        <v>2021</v>
      </c>
      <c r="G342" s="258">
        <f ca="1">+IRR(J342:O342)</f>
        <v>32.682779607867694</v>
      </c>
      <c r="H342" s="259">
        <f ca="1">+SUM(K342:O342)/-J342</f>
        <v>1134.5296422047306</v>
      </c>
      <c r="J342" s="104">
        <f>-$F$55</f>
        <v>-2</v>
      </c>
      <c r="K342" s="16">
        <f t="shared" si="66"/>
        <v>0</v>
      </c>
      <c r="L342" s="16">
        <f t="shared" ca="1" si="66"/>
        <v>2269.0592844094613</v>
      </c>
      <c r="M342" s="16">
        <f t="shared" si="66"/>
        <v>0</v>
      </c>
      <c r="N342" s="16">
        <f t="shared" si="66"/>
        <v>0</v>
      </c>
      <c r="O342" s="236">
        <f t="shared" si="66"/>
        <v>0</v>
      </c>
    </row>
    <row r="343" spans="6:15" ht="12.95" customHeight="1" x14ac:dyDescent="0.2">
      <c r="F343" s="252">
        <v>2022</v>
      </c>
      <c r="G343" s="258">
        <f ca="1">+IRR(J343:O343)</f>
        <v>9.9094586860126483</v>
      </c>
      <c r="H343" s="259">
        <f ca="1">+SUM(K343:O343)/-J343</f>
        <v>1298.403285864164</v>
      </c>
      <c r="J343" s="104">
        <f>-$F$55</f>
        <v>-2</v>
      </c>
      <c r="K343" s="16">
        <f t="shared" si="66"/>
        <v>0</v>
      </c>
      <c r="L343" s="16">
        <f t="shared" si="66"/>
        <v>0</v>
      </c>
      <c r="M343" s="16">
        <f t="shared" ca="1" si="66"/>
        <v>2596.806571728328</v>
      </c>
      <c r="N343" s="16">
        <f t="shared" si="66"/>
        <v>0</v>
      </c>
      <c r="O343" s="236">
        <f t="shared" si="66"/>
        <v>0</v>
      </c>
    </row>
    <row r="344" spans="6:15" ht="12.95" customHeight="1" x14ac:dyDescent="0.2">
      <c r="F344" s="252">
        <v>2023</v>
      </c>
      <c r="G344" s="258">
        <f ca="1">+IRR(J344:O344)</f>
        <v>5.2001964598086916</v>
      </c>
      <c r="H344" s="259">
        <f ca="1">+SUM(K344:O344)/-J344</f>
        <v>1477.8208964251548</v>
      </c>
      <c r="J344" s="104">
        <f>-$F$55</f>
        <v>-2</v>
      </c>
      <c r="K344" s="16">
        <f t="shared" si="66"/>
        <v>0</v>
      </c>
      <c r="L344" s="16">
        <f t="shared" si="66"/>
        <v>0</v>
      </c>
      <c r="M344" s="16">
        <f t="shared" si="66"/>
        <v>0</v>
      </c>
      <c r="N344" s="16">
        <f t="shared" ca="1" si="66"/>
        <v>2955.6417928503097</v>
      </c>
      <c r="O344" s="236">
        <f t="shared" si="66"/>
        <v>0</v>
      </c>
    </row>
    <row r="345" spans="6:15" ht="12.95" customHeight="1" x14ac:dyDescent="0.2">
      <c r="F345" s="252">
        <v>2024</v>
      </c>
      <c r="G345" s="258">
        <f ca="1">+IRR(J345:O345)</f>
        <v>3.4132504659098544</v>
      </c>
      <c r="H345" s="259">
        <f ca="1">+SUM(K345:O345)/-J345</f>
        <v>1674.144261893985</v>
      </c>
      <c r="J345" s="105">
        <f>-$F$55</f>
        <v>-2</v>
      </c>
      <c r="K345" s="66">
        <f t="shared" si="66"/>
        <v>0</v>
      </c>
      <c r="L345" s="66">
        <f t="shared" si="66"/>
        <v>0</v>
      </c>
      <c r="M345" s="66">
        <f t="shared" si="66"/>
        <v>0</v>
      </c>
      <c r="N345" s="66">
        <f t="shared" si="66"/>
        <v>0</v>
      </c>
      <c r="O345" s="237">
        <f t="shared" ca="1" si="66"/>
        <v>3348.28852378797</v>
      </c>
    </row>
  </sheetData>
  <conditionalFormatting sqref="A1:A1048576">
    <cfRule type="expression" dxfId="1" priority="1">
      <formula>$E$13&gt;0</formula>
    </cfRule>
  </conditionalFormatting>
  <printOptions horizontalCentered="1"/>
  <pageMargins left="0.25" right="0.25" top="0.75" bottom="0.75" header="0.3" footer="0.3"/>
  <pageSetup scale="61" orientation="landscape" horizontalDpi="1200" verticalDpi="1200" r:id="rId1"/>
  <rowBreaks count="5" manualBreakCount="5">
    <brk id="101" min="1" max="16" man="1"/>
    <brk id="136" min="1" max="16" man="1"/>
    <brk id="190" min="1" max="16" man="1"/>
    <brk id="248" min="1" max="16" man="1"/>
    <brk id="298" min="1"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AD7CB-A2F8-4AF5-94C8-EAA481E06E25}">
  <dimension ref="A2:X348"/>
  <sheetViews>
    <sheetView showGridLines="0" zoomScale="85" zoomScaleNormal="85" zoomScaleSheetLayoutView="85" workbookViewId="0"/>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+K34</f>
        <v>Fiscal Year Ended 12/31</v>
      </c>
      <c r="L8" s="11"/>
      <c r="M8" s="11"/>
      <c r="N8" s="11"/>
      <c r="O8" s="11"/>
    </row>
    <row r="9" spans="1:15" ht="12.95" customHeight="1" x14ac:dyDescent="0.2">
      <c r="I9" s="12" t="s">
        <v>191</v>
      </c>
      <c r="K9" s="13">
        <f>+$K$106</f>
        <v>2020</v>
      </c>
      <c r="L9" s="13">
        <f>+$L$106</f>
        <v>2021</v>
      </c>
      <c r="M9" s="13">
        <f>+$M$106</f>
        <v>2022</v>
      </c>
      <c r="N9" s="13">
        <f>+$N$106</f>
        <v>2023</v>
      </c>
      <c r="O9" s="13">
        <f>+$O$106</f>
        <v>2024</v>
      </c>
    </row>
    <row r="10" spans="1:15" ht="12.95" customHeight="1" x14ac:dyDescent="0.2">
      <c r="B10" s="1" t="s">
        <v>187</v>
      </c>
      <c r="E10" s="14">
        <f ca="1">+SUM(E171:O171)</f>
        <v>0</v>
      </c>
      <c r="I10" s="1" t="s">
        <v>184</v>
      </c>
      <c r="K10" s="15">
        <f ca="1">+(K91-K82)-(J91-J82)</f>
        <v>-64.461030387004712</v>
      </c>
      <c r="L10" s="15">
        <f t="shared" ref="L10:O10" ca="1" si="0">+(L91-L82)-(K91-K82)</f>
        <v>-70.197908553849174</v>
      </c>
      <c r="M10" s="15">
        <f t="shared" ca="1" si="0"/>
        <v>-85.985586215961348</v>
      </c>
      <c r="N10" s="15">
        <f t="shared" ca="1" si="0"/>
        <v>-103.63514896641868</v>
      </c>
      <c r="O10" s="15">
        <f t="shared" ca="1" si="0"/>
        <v>-124.68159734965798</v>
      </c>
    </row>
    <row r="11" spans="1:15" ht="12.95" customHeight="1" x14ac:dyDescent="0.2">
      <c r="B11" s="1" t="s">
        <v>188</v>
      </c>
      <c r="E11" s="14">
        <f ca="1">+SUM(K267:O267)</f>
        <v>0</v>
      </c>
      <c r="I11" s="1" t="s">
        <v>109</v>
      </c>
      <c r="K11" s="16">
        <f ca="1">-K319</f>
        <v>-16.223889166666662</v>
      </c>
      <c r="L11" s="16">
        <f t="shared" ref="L11:O11" ca="1" si="1">-L319</f>
        <v>-17.575879930555548</v>
      </c>
      <c r="M11" s="16">
        <f t="shared" ca="1" si="1"/>
        <v>-19.040536591435178</v>
      </c>
      <c r="N11" s="16">
        <f t="shared" ca="1" si="1"/>
        <v>-20.49229246261693</v>
      </c>
      <c r="O11" s="16">
        <f t="shared" ca="1" si="1"/>
        <v>-16.195162976154954</v>
      </c>
    </row>
    <row r="12" spans="1:15" ht="12.95" customHeight="1" x14ac:dyDescent="0.2">
      <c r="B12" s="1" t="s">
        <v>189</v>
      </c>
      <c r="E12" s="16">
        <f ca="1">+SUM(K13:O13)</f>
        <v>0</v>
      </c>
      <c r="I12" s="1" t="s">
        <v>185</v>
      </c>
      <c r="K12" s="16">
        <f ca="1">+K78</f>
        <v>80.684919553671506</v>
      </c>
      <c r="L12" s="16">
        <f t="shared" ref="L12:O12" ca="1" si="2">+L78</f>
        <v>87.77378848440469</v>
      </c>
      <c r="M12" s="16">
        <f t="shared" ca="1" si="2"/>
        <v>105.02612280739638</v>
      </c>
      <c r="N12" s="16">
        <f t="shared" ca="1" si="2"/>
        <v>124.12744142903557</v>
      </c>
      <c r="O12" s="16">
        <f t="shared" ca="1" si="2"/>
        <v>140.87676032581294</v>
      </c>
    </row>
    <row r="13" spans="1:15" ht="12.95" customHeight="1" x14ac:dyDescent="0.2">
      <c r="B13" s="17" t="s">
        <v>190</v>
      </c>
      <c r="C13" s="18"/>
      <c r="D13" s="18"/>
      <c r="E13" s="19">
        <f ca="1">SUM(E10:E12)</f>
        <v>0</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8"/>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C18" s="4"/>
      <c r="D18" s="4"/>
      <c r="E18" s="4"/>
      <c r="F18" s="4"/>
      <c r="G18" s="4"/>
      <c r="H18" s="4"/>
      <c r="I18" s="4"/>
      <c r="J18" s="4"/>
      <c r="K18" s="4"/>
      <c r="L18" s="4"/>
      <c r="M18" s="4"/>
      <c r="N18" s="4"/>
      <c r="O18" s="4"/>
    </row>
    <row r="19" spans="2:15" ht="12.95" customHeight="1" x14ac:dyDescent="0.2">
      <c r="B19" s="4" t="s">
        <v>298</v>
      </c>
      <c r="C19" s="4"/>
      <c r="D19" s="4"/>
      <c r="E19" s="290">
        <v>18.968666999999993</v>
      </c>
      <c r="F19" s="4"/>
      <c r="G19" s="4"/>
      <c r="H19" s="4"/>
      <c r="I19" s="4"/>
      <c r="J19" s="4"/>
      <c r="K19" s="4"/>
      <c r="L19" s="4"/>
      <c r="M19" s="4"/>
      <c r="N19" s="4"/>
      <c r="O19" s="4"/>
    </row>
    <row r="20" spans="2:15" ht="12.95" customHeight="1" x14ac:dyDescent="0.2">
      <c r="B20" s="4" t="s">
        <v>299</v>
      </c>
      <c r="C20" s="4"/>
      <c r="D20" s="4"/>
      <c r="E20" s="291">
        <v>100</v>
      </c>
      <c r="F20" s="25"/>
      <c r="G20" s="25"/>
      <c r="H20" s="44" t="s">
        <v>144</v>
      </c>
      <c r="I20" s="25"/>
      <c r="J20" s="25"/>
      <c r="K20" s="25"/>
      <c r="L20" s="25"/>
      <c r="M20" s="25"/>
    </row>
    <row r="21" spans="2:15" ht="12.95" customHeight="1" x14ac:dyDescent="0.2">
      <c r="B21" s="226" t="s">
        <v>302</v>
      </c>
      <c r="C21" s="226"/>
      <c r="D21" s="226"/>
      <c r="E21" s="295">
        <f>+E19*E20</f>
        <v>1896.8666999999994</v>
      </c>
      <c r="F21" s="25"/>
      <c r="G21" s="25"/>
      <c r="H21" s="25" t="s">
        <v>200</v>
      </c>
      <c r="I21" s="25"/>
      <c r="J21" s="25"/>
      <c r="K21" s="25"/>
      <c r="L21" s="25"/>
      <c r="M21" s="251">
        <v>10</v>
      </c>
    </row>
    <row r="22" spans="2:15" ht="12.95" customHeight="1" x14ac:dyDescent="0.2">
      <c r="B22" s="4" t="s">
        <v>300</v>
      </c>
      <c r="C22" s="4"/>
      <c r="D22" s="4"/>
      <c r="E22" s="288">
        <f>G161</f>
        <v>150</v>
      </c>
      <c r="F22" s="25"/>
      <c r="G22" s="25"/>
      <c r="H22" s="44"/>
      <c r="I22" s="25"/>
      <c r="J22" s="25"/>
      <c r="K22" s="25"/>
      <c r="L22" s="25"/>
      <c r="M22" s="25"/>
    </row>
    <row r="23" spans="2:15" ht="12.95" customHeight="1" x14ac:dyDescent="0.2">
      <c r="B23" s="3" t="s">
        <v>301</v>
      </c>
      <c r="C23" s="3"/>
      <c r="D23" s="3"/>
      <c r="E23" s="296">
        <f>-G142</f>
        <v>-100</v>
      </c>
      <c r="F23" s="25"/>
      <c r="G23" s="25"/>
      <c r="H23" s="25" t="s">
        <v>129</v>
      </c>
      <c r="I23" s="25"/>
      <c r="J23" s="25"/>
      <c r="K23" s="25"/>
      <c r="L23" s="25"/>
      <c r="M23" s="45">
        <v>0.04</v>
      </c>
    </row>
    <row r="24" spans="2:15" ht="12.95" customHeight="1" x14ac:dyDescent="0.2">
      <c r="B24" s="69" t="s">
        <v>128</v>
      </c>
      <c r="C24" s="69"/>
      <c r="D24" s="69"/>
      <c r="E24" s="297">
        <f>+SUM(E21:E23)</f>
        <v>1946.8666999999994</v>
      </c>
      <c r="F24" s="25"/>
      <c r="G24" s="25"/>
      <c r="H24" s="25" t="s">
        <v>130</v>
      </c>
      <c r="I24" s="25"/>
      <c r="J24" s="25"/>
      <c r="K24" s="25"/>
      <c r="L24" s="25"/>
      <c r="M24" s="45">
        <v>0.02</v>
      </c>
    </row>
    <row r="25" spans="2:15" ht="12.95" customHeight="1" x14ac:dyDescent="0.2">
      <c r="B25" s="25" t="s">
        <v>127</v>
      </c>
      <c r="C25" s="25"/>
      <c r="D25" s="25"/>
      <c r="E25" s="298">
        <f>+J123</f>
        <v>194.68666999999994</v>
      </c>
      <c r="F25" s="25"/>
      <c r="G25" s="25"/>
    </row>
    <row r="26" spans="2:15" ht="12.95" customHeight="1" x14ac:dyDescent="0.2">
      <c r="B26" s="33" t="s">
        <v>206</v>
      </c>
      <c r="C26" s="33"/>
      <c r="D26" s="33"/>
      <c r="E26" s="299">
        <f>+E24/E25</f>
        <v>10</v>
      </c>
      <c r="F26" s="25"/>
      <c r="G26" s="25"/>
      <c r="H26" s="1" t="s">
        <v>137</v>
      </c>
      <c r="M26" s="264">
        <f>+E25</f>
        <v>194.68666999999994</v>
      </c>
    </row>
    <row r="27" spans="2:15" ht="12.95" customHeight="1" x14ac:dyDescent="0.2">
      <c r="E27" s="109"/>
      <c r="F27" s="25"/>
      <c r="G27" s="25"/>
    </row>
    <row r="28" spans="2:15" ht="12.95" customHeight="1" x14ac:dyDescent="0.2">
      <c r="B28" s="24" t="s">
        <v>142</v>
      </c>
      <c r="H28" s="1" t="s">
        <v>138</v>
      </c>
      <c r="M28" s="245">
        <v>100</v>
      </c>
    </row>
    <row r="29" spans="2:15" ht="12.95" customHeight="1" x14ac:dyDescent="0.2">
      <c r="B29" s="1" t="s">
        <v>139</v>
      </c>
      <c r="E29" s="298">
        <f>+E21</f>
        <v>1896.8666999999994</v>
      </c>
    </row>
    <row r="30" spans="2:15" ht="12.95" customHeight="1" x14ac:dyDescent="0.2">
      <c r="B30" s="4" t="s">
        <v>140</v>
      </c>
      <c r="C30" s="4"/>
      <c r="D30" s="4"/>
      <c r="E30" s="35">
        <f>-G168</f>
        <v>-163.117577826229</v>
      </c>
      <c r="H30" s="1" t="s">
        <v>215</v>
      </c>
      <c r="M30" s="45">
        <v>0.1</v>
      </c>
    </row>
    <row r="31" spans="2:15" ht="12.95" customHeight="1" x14ac:dyDescent="0.2">
      <c r="B31" s="36" t="s">
        <v>141</v>
      </c>
      <c r="C31" s="36"/>
      <c r="D31" s="36"/>
      <c r="E31" s="37">
        <f>SUM(E29:E30)</f>
        <v>1733.7491221737703</v>
      </c>
    </row>
    <row r="33" spans="1:19" ht="12.95" customHeight="1" x14ac:dyDescent="0.2">
      <c r="F33" s="24" t="s">
        <v>151</v>
      </c>
    </row>
    <row r="34" spans="1:19" ht="12.95" customHeight="1" x14ac:dyDescent="0.35">
      <c r="I34" s="26" t="s">
        <v>155</v>
      </c>
      <c r="K34" s="10" t="str">
        <f>+"Fiscal Year Ended "&amp;TEXT(E8,"MM/DD")</f>
        <v>Fiscal Year Ended 12/31</v>
      </c>
      <c r="L34" s="11"/>
      <c r="M34" s="11"/>
      <c r="N34" s="11"/>
      <c r="O34" s="11"/>
    </row>
    <row r="35" spans="1:19" ht="12.95" customHeight="1" x14ac:dyDescent="0.2">
      <c r="H35" s="29" t="s">
        <v>152</v>
      </c>
      <c r="I35" s="29" t="s">
        <v>154</v>
      </c>
      <c r="J35" s="29" t="s">
        <v>153</v>
      </c>
      <c r="K35" s="13">
        <f>+$K$106</f>
        <v>2020</v>
      </c>
      <c r="L35" s="13">
        <f>+$L$106</f>
        <v>2021</v>
      </c>
      <c r="M35" s="13">
        <f>+$M$106</f>
        <v>2022</v>
      </c>
      <c r="N35" s="13">
        <f>+$N$106</f>
        <v>2023</v>
      </c>
      <c r="O35" s="13">
        <f>+$O$106</f>
        <v>2024</v>
      </c>
    </row>
    <row r="36" spans="1:19" ht="12.95" customHeight="1" x14ac:dyDescent="0.2">
      <c r="F36" s="1" t="str">
        <f>+B51</f>
        <v>Revolving Credit Facility</v>
      </c>
      <c r="H36" s="32">
        <v>5</v>
      </c>
      <c r="I36" s="246">
        <f>+J36/H36</f>
        <v>0.4</v>
      </c>
      <c r="J36" s="246">
        <f>+$M$28*M24</f>
        <v>2</v>
      </c>
      <c r="K36" s="247">
        <f t="shared" ref="K36:O39" si="4">+MAX(J36-$I36,0)</f>
        <v>1.6</v>
      </c>
      <c r="L36" s="247">
        <f t="shared" si="4"/>
        <v>1.2000000000000002</v>
      </c>
      <c r="M36" s="247">
        <f t="shared" si="4"/>
        <v>0.80000000000000016</v>
      </c>
      <c r="N36" s="247">
        <f t="shared" si="4"/>
        <v>0.40000000000000013</v>
      </c>
      <c r="O36" s="247">
        <f t="shared" si="4"/>
        <v>1.1102230246251565E-16</v>
      </c>
    </row>
    <row r="37" spans="1:19" ht="12.95" customHeight="1" x14ac:dyDescent="0.2">
      <c r="F37" s="1" t="str">
        <f>+B52</f>
        <v>First Lien Term Loan</v>
      </c>
      <c r="H37" s="34">
        <v>5</v>
      </c>
      <c r="I37" s="248">
        <f>+J37/H37</f>
        <v>1.5574933599999996</v>
      </c>
      <c r="J37" s="249">
        <f>+$M$24*F52</f>
        <v>7.787466799999998</v>
      </c>
      <c r="K37" s="249">
        <f t="shared" si="4"/>
        <v>6.2299734399999984</v>
      </c>
      <c r="L37" s="249">
        <f t="shared" si="4"/>
        <v>4.6724800799999988</v>
      </c>
      <c r="M37" s="249">
        <f t="shared" si="4"/>
        <v>3.1149867199999992</v>
      </c>
      <c r="N37" s="249">
        <f t="shared" si="4"/>
        <v>1.5574933599999996</v>
      </c>
      <c r="O37" s="249">
        <f t="shared" si="4"/>
        <v>0</v>
      </c>
    </row>
    <row r="38" spans="1:19" ht="12.95" customHeight="1" x14ac:dyDescent="0.2">
      <c r="F38" s="1" t="str">
        <f>+B53</f>
        <v>Second Lien Term Loan</v>
      </c>
      <c r="G38" s="25"/>
      <c r="H38" s="34">
        <v>7</v>
      </c>
      <c r="I38" s="248">
        <f>+J38/H38</f>
        <v>0.5562476285714284</v>
      </c>
      <c r="J38" s="249">
        <f>+$M$24*F53</f>
        <v>3.893733399999999</v>
      </c>
      <c r="K38" s="249">
        <f t="shared" si="4"/>
        <v>3.3374857714285708</v>
      </c>
      <c r="L38" s="249">
        <f t="shared" si="4"/>
        <v>2.7812381428571422</v>
      </c>
      <c r="M38" s="249">
        <f t="shared" si="4"/>
        <v>2.2249905142857136</v>
      </c>
      <c r="N38" s="249">
        <f t="shared" si="4"/>
        <v>1.6687428857142852</v>
      </c>
      <c r="O38" s="249">
        <f t="shared" si="4"/>
        <v>1.1124952571428568</v>
      </c>
    </row>
    <row r="39" spans="1:19" ht="12.95" customHeight="1" x14ac:dyDescent="0.2">
      <c r="F39" s="1" t="str">
        <f>+B54</f>
        <v>Notes</v>
      </c>
      <c r="G39" s="25"/>
      <c r="H39" s="34">
        <v>10</v>
      </c>
      <c r="I39" s="248">
        <f>+J39/H39</f>
        <v>0.97343334999999964</v>
      </c>
      <c r="J39" s="249">
        <f>+$M$24*F54</f>
        <v>9.7343334999999964</v>
      </c>
      <c r="K39" s="249">
        <f t="shared" si="4"/>
        <v>8.7609001499999977</v>
      </c>
      <c r="L39" s="249">
        <f t="shared" si="4"/>
        <v>7.787466799999998</v>
      </c>
      <c r="M39" s="249">
        <f t="shared" si="4"/>
        <v>6.8140334499999984</v>
      </c>
      <c r="N39" s="249">
        <f t="shared" si="4"/>
        <v>5.8406000999999987</v>
      </c>
      <c r="O39" s="249">
        <f t="shared" si="4"/>
        <v>4.8671667499999991</v>
      </c>
    </row>
    <row r="40" spans="1:19" ht="12.95" customHeight="1" x14ac:dyDescent="0.2">
      <c r="F40" s="25"/>
      <c r="G40" s="25"/>
      <c r="H40" s="25"/>
      <c r="I40" s="25"/>
      <c r="K40" s="38"/>
      <c r="L40" s="38"/>
      <c r="M40" s="38"/>
      <c r="N40" s="38"/>
      <c r="O40" s="38"/>
    </row>
    <row r="41" spans="1:19" ht="12.95" customHeight="1" x14ac:dyDescent="0.2">
      <c r="F41" s="25"/>
      <c r="G41" s="25"/>
      <c r="H41" s="20" t="s">
        <v>90</v>
      </c>
      <c r="I41" s="18"/>
      <c r="J41" s="39">
        <f t="shared" ref="J41:O41" si="5">SUM(J36:J40)</f>
        <v>23.41553369999999</v>
      </c>
      <c r="K41" s="22">
        <f t="shared" si="5"/>
        <v>19.928359361428566</v>
      </c>
      <c r="L41" s="22">
        <f t="shared" si="5"/>
        <v>16.441185022857137</v>
      </c>
      <c r="M41" s="22">
        <f t="shared" si="5"/>
        <v>12.954010684285711</v>
      </c>
      <c r="N41" s="22">
        <f t="shared" si="5"/>
        <v>9.4668363457142846</v>
      </c>
      <c r="O41" s="23">
        <f t="shared" si="5"/>
        <v>5.9796620071428563</v>
      </c>
    </row>
    <row r="42" spans="1:19" ht="12.95" customHeight="1" x14ac:dyDescent="0.2">
      <c r="F42" s="25"/>
      <c r="G42" s="25"/>
      <c r="H42" s="40" t="s">
        <v>156</v>
      </c>
      <c r="I42" s="3"/>
      <c r="J42" s="41"/>
      <c r="K42" s="42">
        <f>+J41-K41</f>
        <v>3.4871743385714247</v>
      </c>
      <c r="L42" s="42">
        <f>+K41-L41</f>
        <v>3.4871743385714282</v>
      </c>
      <c r="M42" s="42">
        <f>+L41-M41</f>
        <v>3.4871743385714264</v>
      </c>
      <c r="N42" s="42">
        <f>+M41-N41</f>
        <v>3.4871743385714264</v>
      </c>
      <c r="O42" s="43">
        <f>+N41-O41</f>
        <v>3.4871743385714282</v>
      </c>
    </row>
    <row r="44" spans="1:19" ht="13.5" thickBot="1" x14ac:dyDescent="0.25">
      <c r="A44" s="1" t="s">
        <v>39</v>
      </c>
      <c r="B44" s="47" t="str">
        <f>+E4</f>
        <v>Gooey Cookies</v>
      </c>
      <c r="C44" s="48"/>
      <c r="D44" s="48"/>
      <c r="E44" s="48"/>
      <c r="F44" s="48"/>
      <c r="G44" s="48"/>
      <c r="H44" s="48"/>
      <c r="I44" s="48"/>
      <c r="J44" s="48"/>
      <c r="K44" s="48"/>
      <c r="L44" s="48"/>
      <c r="M44" s="48"/>
      <c r="N44" s="48"/>
      <c r="O44" s="48"/>
    </row>
    <row r="45" spans="1:19" ht="12.95" customHeight="1" x14ac:dyDescent="0.2">
      <c r="B45" s="49" t="s">
        <v>4</v>
      </c>
      <c r="C45" s="4"/>
      <c r="D45" s="4"/>
      <c r="E45" s="4"/>
      <c r="F45" s="4"/>
      <c r="G45" s="4"/>
      <c r="H45" s="4"/>
      <c r="I45" s="4"/>
      <c r="J45" s="4"/>
      <c r="K45" s="4"/>
      <c r="L45" s="4"/>
      <c r="M45" s="4"/>
      <c r="N45" s="4"/>
      <c r="O45" s="4"/>
    </row>
    <row r="46" spans="1:19" ht="12.95" customHeight="1" x14ac:dyDescent="0.2">
      <c r="B46" s="4"/>
      <c r="C46" s="4"/>
      <c r="D46" s="4"/>
      <c r="E46" s="4"/>
      <c r="F46" s="4"/>
      <c r="G46" s="4"/>
      <c r="H46" s="4"/>
      <c r="I46" s="4"/>
      <c r="J46" s="4"/>
      <c r="K46" s="4"/>
      <c r="L46" s="4"/>
      <c r="M46" s="4"/>
      <c r="N46" s="4"/>
      <c r="O46" s="4"/>
    </row>
    <row r="47" spans="1:19" ht="12.95" customHeight="1" x14ac:dyDescent="0.2">
      <c r="A47" s="1" t="s">
        <v>39</v>
      </c>
      <c r="B47" s="50" t="s">
        <v>105</v>
      </c>
      <c r="C47" s="51"/>
      <c r="D47" s="51"/>
      <c r="E47" s="51"/>
      <c r="F47" s="51"/>
      <c r="G47" s="51"/>
      <c r="H47" s="51"/>
      <c r="I47" s="51"/>
      <c r="J47" s="51"/>
      <c r="K47" s="51"/>
      <c r="L47" s="51"/>
      <c r="M47" s="51"/>
      <c r="N47" s="51"/>
      <c r="O47" s="51"/>
      <c r="Q47" s="20" t="s">
        <v>304</v>
      </c>
      <c r="R47" s="18"/>
      <c r="S47" s="292"/>
    </row>
    <row r="48" spans="1:19" ht="12.95" customHeight="1" x14ac:dyDescent="0.2">
      <c r="B48" s="4"/>
      <c r="C48" s="4"/>
      <c r="D48" s="4"/>
      <c r="E48" s="4"/>
      <c r="F48" s="4"/>
      <c r="G48" s="4"/>
      <c r="H48" s="4"/>
      <c r="I48" s="4"/>
      <c r="J48" s="4"/>
      <c r="K48" s="4"/>
      <c r="L48" s="4"/>
      <c r="M48" s="4"/>
      <c r="N48" s="4"/>
      <c r="O48" s="4"/>
      <c r="Q48" s="4" t="s">
        <v>183</v>
      </c>
      <c r="R48" s="4"/>
      <c r="S48" s="200">
        <f>+M50</f>
        <v>1896.8666999999994</v>
      </c>
    </row>
    <row r="49" spans="1:19" ht="12.95" customHeight="1" x14ac:dyDescent="0.2">
      <c r="B49" s="2" t="s">
        <v>5</v>
      </c>
      <c r="C49" s="3"/>
      <c r="D49" s="3"/>
      <c r="E49" s="2" t="s">
        <v>134</v>
      </c>
      <c r="F49" s="29" t="s">
        <v>135</v>
      </c>
      <c r="G49" s="29" t="s">
        <v>136</v>
      </c>
      <c r="I49" s="2" t="s">
        <v>6</v>
      </c>
      <c r="J49" s="3"/>
      <c r="K49" s="3"/>
      <c r="L49" s="3"/>
      <c r="M49" s="29" t="s">
        <v>135</v>
      </c>
      <c r="Q49" s="1" t="s">
        <v>305</v>
      </c>
      <c r="S49" s="38">
        <f>+M51</f>
        <v>150</v>
      </c>
    </row>
    <row r="50" spans="1:19" ht="12.95" customHeight="1" x14ac:dyDescent="0.2">
      <c r="B50" s="4" t="s">
        <v>303</v>
      </c>
      <c r="C50" s="4"/>
      <c r="D50" s="4"/>
      <c r="E50" s="4"/>
      <c r="F50" s="289">
        <f>-E23</f>
        <v>100</v>
      </c>
      <c r="G50" s="58">
        <f t="shared" ref="G50:G55" si="6">+F50/F$56</f>
        <v>4.6551534443718907E-2</v>
      </c>
      <c r="I50" s="4" t="s">
        <v>139</v>
      </c>
      <c r="J50" s="4"/>
      <c r="K50" s="4"/>
      <c r="L50" s="4"/>
      <c r="M50" s="289">
        <f>+E21</f>
        <v>1896.8666999999994</v>
      </c>
      <c r="Q50" s="4" t="s">
        <v>301</v>
      </c>
      <c r="R50" s="4"/>
      <c r="S50" s="200">
        <f>-F50</f>
        <v>-100</v>
      </c>
    </row>
    <row r="51" spans="1:19" ht="12.95" customHeight="1" x14ac:dyDescent="0.2">
      <c r="B51" s="52" t="s">
        <v>7</v>
      </c>
      <c r="C51" s="4"/>
      <c r="D51" s="4"/>
      <c r="E51" s="53">
        <v>0</v>
      </c>
      <c r="F51" s="16">
        <f>+E51*$M$26</f>
        <v>0</v>
      </c>
      <c r="G51" s="55">
        <f t="shared" si="6"/>
        <v>0</v>
      </c>
      <c r="I51" s="1" t="s">
        <v>296</v>
      </c>
      <c r="M51" s="287">
        <f>+E22</f>
        <v>150</v>
      </c>
      <c r="Q51" s="20" t="s">
        <v>201</v>
      </c>
      <c r="R51" s="21"/>
      <c r="S51" s="173">
        <f>SUM(S48:S50)</f>
        <v>1946.8666999999994</v>
      </c>
    </row>
    <row r="52" spans="1:19" ht="12.95" customHeight="1" x14ac:dyDescent="0.2">
      <c r="B52" s="56" t="s">
        <v>8</v>
      </c>
      <c r="E52" s="57">
        <v>2</v>
      </c>
      <c r="F52" s="16">
        <f>+E52*$M$26</f>
        <v>389.37333999999987</v>
      </c>
      <c r="G52" s="58">
        <f t="shared" si="6"/>
        <v>0.18125926448475865</v>
      </c>
      <c r="I52" s="33" t="s">
        <v>14</v>
      </c>
      <c r="M52" s="16">
        <f>+SUM(J36:J39)</f>
        <v>23.41553369999999</v>
      </c>
    </row>
    <row r="53" spans="1:19" ht="12.95" customHeight="1" x14ac:dyDescent="0.2">
      <c r="B53" s="56" t="s">
        <v>9</v>
      </c>
      <c r="E53" s="57">
        <v>1</v>
      </c>
      <c r="F53" s="16">
        <f>+E53*$M$26</f>
        <v>194.68666999999994</v>
      </c>
      <c r="G53" s="58">
        <f t="shared" si="6"/>
        <v>9.0629632242379327E-2</v>
      </c>
      <c r="I53" s="33" t="s">
        <v>15</v>
      </c>
      <c r="M53" s="16">
        <f>+M23*E24</f>
        <v>77.874667999999971</v>
      </c>
    </row>
    <row r="54" spans="1:19" ht="12.95" customHeight="1" x14ac:dyDescent="0.2">
      <c r="B54" s="59" t="s">
        <v>10</v>
      </c>
      <c r="C54" s="60"/>
      <c r="D54" s="60"/>
      <c r="E54" s="61">
        <v>2.5</v>
      </c>
      <c r="F54" s="62">
        <f>+E54*$M$26</f>
        <v>486.71667499999984</v>
      </c>
      <c r="G54" s="63">
        <f t="shared" si="6"/>
        <v>0.22657408060594833</v>
      </c>
      <c r="M54" s="16"/>
    </row>
    <row r="55" spans="1:19" ht="12.95" customHeight="1" x14ac:dyDescent="0.2">
      <c r="B55" s="27" t="s">
        <v>11</v>
      </c>
      <c r="C55" s="3"/>
      <c r="D55" s="3"/>
      <c r="E55" s="65">
        <f>+F55/M26</f>
        <v>5.0202729169901561</v>
      </c>
      <c r="F55" s="66">
        <f>+M56-SUM(F50:F54)</f>
        <v>977.38021669999966</v>
      </c>
      <c r="G55" s="67">
        <f t="shared" si="6"/>
        <v>0.45498548822319479</v>
      </c>
      <c r="I55" s="3"/>
      <c r="J55" s="3"/>
      <c r="K55" s="3"/>
      <c r="L55" s="3"/>
      <c r="M55" s="68"/>
    </row>
    <row r="56" spans="1:19" ht="12.95" customHeight="1" x14ac:dyDescent="0.2">
      <c r="B56" s="30" t="s">
        <v>12</v>
      </c>
      <c r="C56" s="69"/>
      <c r="D56" s="69"/>
      <c r="E56" s="70">
        <f>SUM(E51:E55)</f>
        <v>10.520272916990155</v>
      </c>
      <c r="F56" s="71">
        <f>+SUM(F50:F55)</f>
        <v>2148.1569016999993</v>
      </c>
      <c r="G56" s="72">
        <f>SUM(G50:G55)</f>
        <v>1</v>
      </c>
      <c r="I56" s="30" t="s">
        <v>16</v>
      </c>
      <c r="J56" s="69"/>
      <c r="K56" s="69"/>
      <c r="L56" s="69"/>
      <c r="M56" s="71">
        <f>+SUM(M50:M55)</f>
        <v>2148.1569016999993</v>
      </c>
    </row>
    <row r="58" spans="1:19" ht="12.95" customHeight="1" x14ac:dyDescent="0.2">
      <c r="A58" s="1" t="s">
        <v>39</v>
      </c>
      <c r="B58" s="50" t="s">
        <v>182</v>
      </c>
      <c r="C58" s="51"/>
      <c r="D58" s="51"/>
      <c r="E58" s="51"/>
      <c r="F58" s="51"/>
      <c r="G58" s="51"/>
      <c r="H58" s="51"/>
      <c r="I58" s="51"/>
      <c r="J58" s="51"/>
      <c r="K58" s="51"/>
      <c r="L58" s="51"/>
      <c r="M58" s="51"/>
      <c r="N58" s="51"/>
      <c r="O58" s="73"/>
    </row>
    <row r="60" spans="1:19" ht="12.95" customHeight="1" x14ac:dyDescent="0.35">
      <c r="A60" s="4"/>
      <c r="B60" s="4"/>
      <c r="C60" s="4"/>
      <c r="D60" s="4"/>
      <c r="E60" s="4"/>
      <c r="F60" s="4"/>
      <c r="G60" s="4"/>
      <c r="H60" s="10" t="str">
        <f>+$K$34</f>
        <v>Fiscal Year Ended 12/31</v>
      </c>
      <c r="I60" s="11"/>
      <c r="J60" s="11"/>
      <c r="K60" s="10"/>
      <c r="L60" s="85"/>
      <c r="M60" s="85"/>
      <c r="N60" s="85"/>
      <c r="O60" s="85"/>
    </row>
    <row r="61" spans="1:19" ht="12.95" customHeight="1" x14ac:dyDescent="0.2">
      <c r="H61" s="74">
        <f>+I61-1</f>
        <v>2017</v>
      </c>
      <c r="I61" s="74">
        <f>+J61-1</f>
        <v>2018</v>
      </c>
      <c r="J61" s="141">
        <f>+K61-1</f>
        <v>2019</v>
      </c>
      <c r="K61" s="13">
        <f>+$K$106</f>
        <v>2020</v>
      </c>
      <c r="L61" s="13">
        <f>+$L$106</f>
        <v>2021</v>
      </c>
      <c r="M61" s="13">
        <f>+$M$106</f>
        <v>2022</v>
      </c>
      <c r="N61" s="13">
        <f>+$N$106</f>
        <v>2023</v>
      </c>
      <c r="O61" s="13">
        <f>+$O$106</f>
        <v>2024</v>
      </c>
    </row>
    <row r="62" spans="1:19" ht="12.95" customHeight="1" x14ac:dyDescent="0.2">
      <c r="B62" s="76" t="s">
        <v>33</v>
      </c>
      <c r="C62" s="76"/>
      <c r="D62" s="76"/>
      <c r="E62" s="76"/>
      <c r="F62" s="76"/>
      <c r="G62" s="76"/>
      <c r="H62" s="71">
        <f>+H107</f>
        <v>900</v>
      </c>
      <c r="I62" s="71">
        <f t="shared" ref="I62:O62" si="7">+I107</f>
        <v>963</v>
      </c>
      <c r="J62" s="271">
        <f t="shared" si="7"/>
        <v>1030.4100000000001</v>
      </c>
      <c r="K62" s="71">
        <f t="shared" si="7"/>
        <v>1102.5387000000001</v>
      </c>
      <c r="L62" s="71">
        <f t="shared" si="7"/>
        <v>1179.7164090000001</v>
      </c>
      <c r="M62" s="71">
        <f t="shared" si="7"/>
        <v>1262.2965576300003</v>
      </c>
      <c r="N62" s="71">
        <f t="shared" si="7"/>
        <v>1350.6573166641003</v>
      </c>
      <c r="O62" s="71">
        <f t="shared" si="7"/>
        <v>1445.2033288305875</v>
      </c>
    </row>
    <row r="63" spans="1:19" s="78" customFormat="1" ht="12.95" customHeight="1" x14ac:dyDescent="0.2">
      <c r="B63" s="268" t="s">
        <v>294</v>
      </c>
      <c r="I63" s="79">
        <f>+I62/H62-1</f>
        <v>7.0000000000000062E-2</v>
      </c>
      <c r="J63" s="272">
        <f t="shared" ref="J63:O63" si="8">+J62/I62-1</f>
        <v>7.0000000000000062E-2</v>
      </c>
      <c r="K63" s="269">
        <f t="shared" si="8"/>
        <v>7.0000000000000062E-2</v>
      </c>
      <c r="L63" s="79">
        <f t="shared" si="8"/>
        <v>7.0000000000000062E-2</v>
      </c>
      <c r="M63" s="79">
        <f t="shared" si="8"/>
        <v>7.0000000000000062E-2</v>
      </c>
      <c r="N63" s="79">
        <f t="shared" si="8"/>
        <v>7.0000000000000062E-2</v>
      </c>
      <c r="O63" s="79">
        <f t="shared" si="8"/>
        <v>7.0000000000000062E-2</v>
      </c>
    </row>
    <row r="64" spans="1:19" ht="12.95" customHeight="1" x14ac:dyDescent="0.2">
      <c r="B64" s="76" t="s">
        <v>160</v>
      </c>
      <c r="C64" s="76"/>
      <c r="D64" s="76"/>
      <c r="E64" s="76"/>
      <c r="F64" s="76"/>
      <c r="G64" s="76"/>
      <c r="H64" s="31">
        <f>+H123</f>
        <v>173.49999999999997</v>
      </c>
      <c r="I64" s="31">
        <f t="shared" ref="I64:O64" si="9">+I123</f>
        <v>184.11799999999999</v>
      </c>
      <c r="J64" s="271">
        <f t="shared" si="9"/>
        <v>194.68666999999994</v>
      </c>
      <c r="K64" s="71">
        <f t="shared" si="9"/>
        <v>211.13616104999991</v>
      </c>
      <c r="L64" s="31">
        <f t="shared" si="9"/>
        <v>231.22441616399993</v>
      </c>
      <c r="M64" s="31">
        <f t="shared" si="9"/>
        <v>253.09045980481494</v>
      </c>
      <c r="N64" s="31">
        <f t="shared" si="9"/>
        <v>276.88474991614049</v>
      </c>
      <c r="O64" s="31">
        <f t="shared" si="9"/>
        <v>302.770097390008</v>
      </c>
    </row>
    <row r="65" spans="2:15" s="78" customFormat="1" ht="12.95" customHeight="1" x14ac:dyDescent="0.2">
      <c r="B65" s="268" t="s">
        <v>295</v>
      </c>
      <c r="H65" s="79">
        <f>+H64/H62</f>
        <v>0.19277777777777774</v>
      </c>
      <c r="I65" s="79">
        <f t="shared" ref="I65:O65" si="10">+I64/I62</f>
        <v>0.19119210799584632</v>
      </c>
      <c r="J65" s="272">
        <f t="shared" si="10"/>
        <v>0.18894097495171816</v>
      </c>
      <c r="K65" s="269">
        <f t="shared" si="10"/>
        <v>0.19149999999999992</v>
      </c>
      <c r="L65" s="79">
        <f t="shared" si="10"/>
        <v>0.19599999999999992</v>
      </c>
      <c r="M65" s="79">
        <f t="shared" si="10"/>
        <v>0.2004999999999999</v>
      </c>
      <c r="N65" s="79">
        <f t="shared" si="10"/>
        <v>0.20499999999999993</v>
      </c>
      <c r="O65" s="79">
        <f t="shared" si="10"/>
        <v>0.20949999999999996</v>
      </c>
    </row>
    <row r="66" spans="2:15" ht="12.95" customHeight="1" x14ac:dyDescent="0.2">
      <c r="J66" s="131"/>
      <c r="K66" s="4"/>
    </row>
    <row r="67" spans="2:15" ht="12.95" customHeight="1" x14ac:dyDescent="0.2">
      <c r="B67" s="1" t="s">
        <v>162</v>
      </c>
      <c r="J67" s="131"/>
      <c r="K67" s="54">
        <f ca="1">+K318-K309</f>
        <v>68.230865912273998</v>
      </c>
      <c r="L67" s="54">
        <f t="shared" ref="L67:O67" ca="1" si="11">+L318-L309</f>
        <v>63.710751441226918</v>
      </c>
      <c r="M67" s="54">
        <f t="shared" ca="1" si="11"/>
        <v>58.408753880702392</v>
      </c>
      <c r="N67" s="54">
        <f t="shared" ca="1" si="11"/>
        <v>52.196101501749489</v>
      </c>
      <c r="O67" s="54">
        <f t="shared" ca="1" si="11"/>
        <v>48.871667499999987</v>
      </c>
    </row>
    <row r="68" spans="2:15" ht="12.95" customHeight="1" x14ac:dyDescent="0.2">
      <c r="B68" s="1" t="s">
        <v>71</v>
      </c>
      <c r="J68" s="131"/>
      <c r="K68" s="54">
        <f>+K126</f>
        <v>45.755356050000003</v>
      </c>
      <c r="L68" s="15">
        <f t="shared" ref="L68:O68" si="12">+L126</f>
        <v>49.548089178000005</v>
      </c>
      <c r="M68" s="15">
        <f t="shared" si="12"/>
        <v>53.647603699275017</v>
      </c>
      <c r="N68" s="15">
        <f t="shared" si="12"/>
        <v>58.078264616556318</v>
      </c>
      <c r="O68" s="15">
        <f t="shared" si="12"/>
        <v>62.866344804130563</v>
      </c>
    </row>
    <row r="69" spans="2:15" s="78" customFormat="1" ht="12.95" customHeight="1" x14ac:dyDescent="0.2">
      <c r="B69" s="268" t="s">
        <v>293</v>
      </c>
      <c r="J69" s="273"/>
      <c r="K69" s="269">
        <f>+K68/K62</f>
        <v>4.1500000000000002E-2</v>
      </c>
      <c r="L69" s="79">
        <f t="shared" ref="L69:O69" si="13">+L68/L62</f>
        <v>4.2000000000000003E-2</v>
      </c>
      <c r="M69" s="79">
        <f t="shared" si="13"/>
        <v>4.2500000000000003E-2</v>
      </c>
      <c r="N69" s="79">
        <f t="shared" si="13"/>
        <v>4.3000000000000003E-2</v>
      </c>
      <c r="O69" s="79">
        <f t="shared" si="13"/>
        <v>4.3500000000000004E-2</v>
      </c>
    </row>
    <row r="70" spans="2:15" ht="12.95" customHeight="1" x14ac:dyDescent="0.2">
      <c r="J70" s="131"/>
      <c r="K70" s="4"/>
    </row>
    <row r="71" spans="2:15" ht="12.95" customHeight="1" x14ac:dyDescent="0.35">
      <c r="J71" s="274"/>
      <c r="K71" s="10" t="str">
        <f>+$K$34</f>
        <v>Fiscal Year Ended 12/31</v>
      </c>
      <c r="L71" s="85"/>
      <c r="M71" s="85"/>
      <c r="N71" s="85"/>
      <c r="O71" s="85"/>
    </row>
    <row r="72" spans="2:15" ht="12.95" customHeight="1" x14ac:dyDescent="0.2">
      <c r="B72" s="24" t="s">
        <v>180</v>
      </c>
      <c r="J72" s="275"/>
      <c r="K72" s="118">
        <f>+$K$106</f>
        <v>2020</v>
      </c>
      <c r="L72" s="13">
        <f>+$L$106</f>
        <v>2021</v>
      </c>
      <c r="M72" s="13">
        <f>+$M$106</f>
        <v>2022</v>
      </c>
      <c r="N72" s="13">
        <f>+$N$106</f>
        <v>2023</v>
      </c>
      <c r="O72" s="13">
        <f>+$O$106</f>
        <v>2024</v>
      </c>
    </row>
    <row r="73" spans="2:15" ht="12.95" customHeight="1" x14ac:dyDescent="0.2">
      <c r="B73" s="1" t="s">
        <v>35</v>
      </c>
      <c r="J73" s="276"/>
      <c r="K73" s="221">
        <f>+K121</f>
        <v>211.13616104999991</v>
      </c>
      <c r="L73" s="54">
        <f t="shared" ref="L73:O73" si="14">+L121</f>
        <v>231.22441616399993</v>
      </c>
      <c r="M73" s="54">
        <f t="shared" si="14"/>
        <v>253.09045980481494</v>
      </c>
      <c r="N73" s="54">
        <f t="shared" si="14"/>
        <v>276.88474991614049</v>
      </c>
      <c r="O73" s="54">
        <f t="shared" si="14"/>
        <v>302.770097390008</v>
      </c>
    </row>
    <row r="74" spans="2:15" ht="12.95" customHeight="1" x14ac:dyDescent="0.2">
      <c r="B74" s="1" t="s">
        <v>163</v>
      </c>
      <c r="J74" s="277"/>
      <c r="K74" s="35">
        <f ca="1">-K67</f>
        <v>-68.230865912273998</v>
      </c>
      <c r="L74" s="35">
        <f t="shared" ref="L74:O74" ca="1" si="15">-L67</f>
        <v>-63.710751441226918</v>
      </c>
      <c r="M74" s="35">
        <f t="shared" ca="1" si="15"/>
        <v>-58.408753880702392</v>
      </c>
      <c r="N74" s="35">
        <f t="shared" ca="1" si="15"/>
        <v>-52.196101501749489</v>
      </c>
      <c r="O74" s="35">
        <f t="shared" ca="1" si="15"/>
        <v>-48.871667499999987</v>
      </c>
    </row>
    <row r="75" spans="2:15" ht="12.95" customHeight="1" x14ac:dyDescent="0.2">
      <c r="B75" s="1" t="s">
        <v>181</v>
      </c>
      <c r="J75" s="277"/>
      <c r="K75" s="35">
        <f ca="1">+K115</f>
        <v>-21.137417868446832</v>
      </c>
      <c r="L75" s="35">
        <f t="shared" ref="L75:O75" ca="1" si="16">+L115</f>
        <v>-26.114834330687973</v>
      </c>
      <c r="M75" s="35">
        <f t="shared" ca="1" si="16"/>
        <v>-31.632154499115547</v>
      </c>
      <c r="N75" s="35">
        <f t="shared" ca="1" si="16"/>
        <v>-37.786380223793373</v>
      </c>
      <c r="O75" s="35">
        <f t="shared" ca="1" si="16"/>
        <v>-45.114563718743199</v>
      </c>
    </row>
    <row r="76" spans="2:15" ht="12.95" customHeight="1" x14ac:dyDescent="0.2">
      <c r="B76" s="1" t="s">
        <v>164</v>
      </c>
      <c r="J76" s="278"/>
      <c r="K76" s="35">
        <f>+K210</f>
        <v>4.6723983343924207</v>
      </c>
      <c r="L76" s="35">
        <f t="shared" ref="L76:O76" si="17">+L210</f>
        <v>-4.0769527296803361</v>
      </c>
      <c r="M76" s="35">
        <f t="shared" si="17"/>
        <v>-4.3758249183255966</v>
      </c>
      <c r="N76" s="35">
        <f t="shared" si="17"/>
        <v>-4.6965621450057498</v>
      </c>
      <c r="O76" s="35">
        <f t="shared" si="17"/>
        <v>-5.0407610413213053</v>
      </c>
    </row>
    <row r="77" spans="2:15" ht="12.95" customHeight="1" x14ac:dyDescent="0.2">
      <c r="B77" s="4" t="s">
        <v>165</v>
      </c>
      <c r="C77" s="4"/>
      <c r="D77" s="4"/>
      <c r="E77" s="4"/>
      <c r="F77" s="4"/>
      <c r="G77" s="4"/>
      <c r="H77" s="4"/>
      <c r="I77" s="4"/>
      <c r="J77" s="278"/>
      <c r="K77" s="35">
        <f>-K68</f>
        <v>-45.755356050000003</v>
      </c>
      <c r="L77" s="35">
        <f t="shared" ref="L77:O77" si="18">-L68</f>
        <v>-49.548089178000005</v>
      </c>
      <c r="M77" s="35">
        <f t="shared" si="18"/>
        <v>-53.647603699275017</v>
      </c>
      <c r="N77" s="35">
        <f t="shared" si="18"/>
        <v>-58.078264616556318</v>
      </c>
      <c r="O77" s="35">
        <f t="shared" si="18"/>
        <v>-62.866344804130563</v>
      </c>
    </row>
    <row r="78" spans="2:15" s="4" customFormat="1" ht="12.95" customHeight="1" x14ac:dyDescent="0.2">
      <c r="B78" s="282" t="s">
        <v>166</v>
      </c>
      <c r="C78" s="94"/>
      <c r="D78" s="94"/>
      <c r="E78" s="94"/>
      <c r="F78" s="94"/>
      <c r="G78" s="94"/>
      <c r="H78" s="94"/>
      <c r="I78" s="94"/>
      <c r="J78" s="279"/>
      <c r="K78" s="234">
        <f ca="1">SUM(K73:K77)</f>
        <v>80.684919553671506</v>
      </c>
      <c r="L78" s="234">
        <f t="shared" ref="L78:O78" ca="1" si="19">SUM(L73:L77)</f>
        <v>87.77378848440469</v>
      </c>
      <c r="M78" s="234">
        <f t="shared" ca="1" si="19"/>
        <v>105.02612280739638</v>
      </c>
      <c r="N78" s="234">
        <f t="shared" ca="1" si="19"/>
        <v>124.12744142903557</v>
      </c>
      <c r="O78" s="235">
        <f t="shared" ca="1" si="19"/>
        <v>140.87676032581294</v>
      </c>
    </row>
    <row r="79" spans="2:15" s="4" customFormat="1" ht="12.95" customHeight="1" x14ac:dyDescent="0.2">
      <c r="B79" s="40" t="s">
        <v>167</v>
      </c>
      <c r="C79" s="2"/>
      <c r="D79" s="2"/>
      <c r="E79" s="2"/>
      <c r="F79" s="2"/>
      <c r="G79" s="2"/>
      <c r="H79" s="2"/>
      <c r="I79" s="2"/>
      <c r="J79" s="280"/>
      <c r="K79" s="42">
        <f ca="1">+K78</f>
        <v>80.684919553671506</v>
      </c>
      <c r="L79" s="42">
        <f ca="1">+K79+L78</f>
        <v>168.4587080380762</v>
      </c>
      <c r="M79" s="42">
        <f t="shared" ref="M79:O79" ca="1" si="20">+L79+M78</f>
        <v>273.48483084547257</v>
      </c>
      <c r="N79" s="42">
        <f t="shared" ca="1" si="20"/>
        <v>397.61227227450814</v>
      </c>
      <c r="O79" s="43">
        <f t="shared" ca="1" si="20"/>
        <v>538.48903260032102</v>
      </c>
    </row>
    <row r="80" spans="2:15" ht="12.95" customHeight="1" x14ac:dyDescent="0.2">
      <c r="J80" s="131"/>
      <c r="K80" s="270"/>
      <c r="L80" s="99"/>
      <c r="M80" s="99"/>
      <c r="N80" s="99"/>
      <c r="O80" s="99"/>
    </row>
    <row r="81" spans="2:16" ht="12.95" customHeight="1" x14ac:dyDescent="0.2">
      <c r="B81" s="24" t="s">
        <v>168</v>
      </c>
      <c r="J81" s="100" t="s">
        <v>126</v>
      </c>
      <c r="K81" s="4"/>
    </row>
    <row r="82" spans="2:16" ht="12.95" customHeight="1" x14ac:dyDescent="0.2">
      <c r="B82" s="1" t="s">
        <v>40</v>
      </c>
      <c r="J82" s="101">
        <f>+J142</f>
        <v>0</v>
      </c>
      <c r="K82" s="54">
        <f t="shared" ref="K82:O82" ca="1" si="21">+K142</f>
        <v>5</v>
      </c>
      <c r="L82" s="15">
        <f t="shared" ca="1" si="21"/>
        <v>5</v>
      </c>
      <c r="M82" s="15">
        <f t="shared" ca="1" si="21"/>
        <v>5</v>
      </c>
      <c r="N82" s="15">
        <f t="shared" ca="1" si="21"/>
        <v>5</v>
      </c>
      <c r="O82" s="15">
        <f t="shared" ca="1" si="21"/>
        <v>5</v>
      </c>
    </row>
    <row r="83" spans="2:16" ht="12.95" customHeight="1" x14ac:dyDescent="0.2">
      <c r="J83" s="102"/>
      <c r="K83" s="4"/>
    </row>
    <row r="84" spans="2:16" ht="12.95" customHeight="1" x14ac:dyDescent="0.2">
      <c r="B84" s="1" t="s">
        <v>169</v>
      </c>
      <c r="J84" s="103">
        <f>+J161</f>
        <v>0</v>
      </c>
      <c r="K84" s="175">
        <f t="shared" ref="K84:O84" si="22">+K161</f>
        <v>0</v>
      </c>
      <c r="L84" s="14">
        <f t="shared" si="22"/>
        <v>0</v>
      </c>
      <c r="M84" s="14">
        <f t="shared" si="22"/>
        <v>0</v>
      </c>
      <c r="N84" s="14">
        <f t="shared" si="22"/>
        <v>0</v>
      </c>
      <c r="O84" s="14">
        <f t="shared" si="22"/>
        <v>0</v>
      </c>
    </row>
    <row r="85" spans="2:16" ht="12.95" customHeight="1" x14ac:dyDescent="0.2">
      <c r="J85" s="283"/>
      <c r="K85" s="88"/>
      <c r="L85" s="264"/>
      <c r="M85" s="264"/>
      <c r="N85" s="264"/>
      <c r="O85" s="264"/>
    </row>
    <row r="86" spans="2:16" ht="12.95" customHeight="1" x14ac:dyDescent="0.2">
      <c r="B86" s="1" t="str">
        <f>+B51</f>
        <v>Revolving Credit Facility</v>
      </c>
      <c r="J86" s="104">
        <f>+J162</f>
        <v>0</v>
      </c>
      <c r="K86" s="35">
        <f t="shared" ref="K86:O86" ca="1" si="23">+K162</f>
        <v>0</v>
      </c>
      <c r="L86" s="16">
        <f t="shared" ca="1" si="23"/>
        <v>0</v>
      </c>
      <c r="M86" s="16">
        <f t="shared" ca="1" si="23"/>
        <v>0</v>
      </c>
      <c r="N86" s="16">
        <f t="shared" ca="1" si="23"/>
        <v>0</v>
      </c>
      <c r="O86" s="16">
        <f t="shared" ca="1" si="23"/>
        <v>0</v>
      </c>
    </row>
    <row r="87" spans="2:16" ht="12.95" customHeight="1" x14ac:dyDescent="0.2">
      <c r="B87" s="1" t="str">
        <f>+B52</f>
        <v>First Lien Term Loan</v>
      </c>
      <c r="J87" s="104">
        <f t="shared" ref="J87:O88" si="24">+J163</f>
        <v>389.37333999999987</v>
      </c>
      <c r="K87" s="35">
        <f t="shared" ca="1" si="24"/>
        <v>313.68842044632839</v>
      </c>
      <c r="L87" s="16">
        <f t="shared" ca="1" si="24"/>
        <v>225.91463196192365</v>
      </c>
      <c r="M87" s="16">
        <f t="shared" ca="1" si="24"/>
        <v>120.88850915452724</v>
      </c>
      <c r="N87" s="16">
        <f t="shared" ca="1" si="24"/>
        <v>0</v>
      </c>
      <c r="O87" s="16">
        <f t="shared" ca="1" si="24"/>
        <v>0</v>
      </c>
    </row>
    <row r="88" spans="2:16" ht="12.95" customHeight="1" x14ac:dyDescent="0.2">
      <c r="B88" s="3" t="str">
        <f>+B53</f>
        <v>Second Lien Term Loan</v>
      </c>
      <c r="C88" s="3"/>
      <c r="D88" s="3"/>
      <c r="E88" s="3"/>
      <c r="F88" s="3"/>
      <c r="G88" s="3"/>
      <c r="H88" s="3"/>
      <c r="I88" s="3"/>
      <c r="J88" s="105">
        <f t="shared" si="24"/>
        <v>194.68666999999994</v>
      </c>
      <c r="K88" s="66">
        <f t="shared" ca="1" si="24"/>
        <v>210.91055916666659</v>
      </c>
      <c r="L88" s="66">
        <f t="shared" ca="1" si="24"/>
        <v>228.48643909722213</v>
      </c>
      <c r="M88" s="66">
        <f t="shared" ca="1" si="24"/>
        <v>247.5269756886573</v>
      </c>
      <c r="N88" s="66">
        <f t="shared" ca="1" si="24"/>
        <v>264.78033587676589</v>
      </c>
      <c r="O88" s="66">
        <f t="shared" ca="1" si="24"/>
        <v>140.09873852710791</v>
      </c>
    </row>
    <row r="89" spans="2:16" ht="12.95" customHeight="1" x14ac:dyDescent="0.2">
      <c r="B89" s="69" t="s">
        <v>170</v>
      </c>
      <c r="C89" s="69"/>
      <c r="D89" s="69"/>
      <c r="E89" s="69"/>
      <c r="F89" s="69"/>
      <c r="G89" s="69"/>
      <c r="H89" s="69"/>
      <c r="I89" s="69"/>
      <c r="J89" s="106">
        <f>+SUM(J86:J88)</f>
        <v>584.06000999999981</v>
      </c>
      <c r="K89" s="71">
        <f t="shared" ref="K89:O89" ca="1" si="25">+SUM(K86:K88)</f>
        <v>524.59897961299498</v>
      </c>
      <c r="L89" s="71">
        <f t="shared" ca="1" si="25"/>
        <v>454.40107105914581</v>
      </c>
      <c r="M89" s="71">
        <f t="shared" ca="1" si="25"/>
        <v>368.41548484318457</v>
      </c>
      <c r="N89" s="71">
        <f t="shared" ca="1" si="25"/>
        <v>264.78033587676589</v>
      </c>
      <c r="O89" s="71">
        <f t="shared" ca="1" si="25"/>
        <v>140.09873852710791</v>
      </c>
    </row>
    <row r="90" spans="2:16" ht="12.95" customHeight="1" x14ac:dyDescent="0.2">
      <c r="B90" s="3" t="str">
        <f>+B54</f>
        <v>Notes</v>
      </c>
      <c r="C90" s="3"/>
      <c r="D90" s="3"/>
      <c r="E90" s="3"/>
      <c r="F90" s="3"/>
      <c r="G90" s="3"/>
      <c r="H90" s="3"/>
      <c r="I90" s="3"/>
      <c r="J90" s="105">
        <f>+J165</f>
        <v>486.71667499999984</v>
      </c>
      <c r="K90" s="66">
        <f t="shared" ref="K90:O90" ca="1" si="26">+K165</f>
        <v>486.71667499999984</v>
      </c>
      <c r="L90" s="66">
        <f t="shared" ca="1" si="26"/>
        <v>486.71667499999984</v>
      </c>
      <c r="M90" s="66">
        <f t="shared" ca="1" si="26"/>
        <v>486.71667499999984</v>
      </c>
      <c r="N90" s="66">
        <f t="shared" ca="1" si="26"/>
        <v>486.71667499999984</v>
      </c>
      <c r="O90" s="66">
        <f t="shared" ca="1" si="26"/>
        <v>486.71667499999984</v>
      </c>
    </row>
    <row r="91" spans="2:16" ht="12.95" customHeight="1" x14ac:dyDescent="0.2">
      <c r="B91" s="69" t="s">
        <v>171</v>
      </c>
      <c r="C91" s="4"/>
      <c r="D91" s="4"/>
      <c r="E91" s="4"/>
      <c r="F91" s="4"/>
      <c r="G91" s="4"/>
      <c r="H91" s="4"/>
      <c r="I91" s="4"/>
      <c r="J91" s="106">
        <f>+SUM(J89:J90)+J84</f>
        <v>1070.7766849999996</v>
      </c>
      <c r="K91" s="71">
        <f t="shared" ref="K91:O91" ca="1" si="27">+SUM(K89:K90)+K84</f>
        <v>1011.3156546129949</v>
      </c>
      <c r="L91" s="71">
        <f t="shared" ca="1" si="27"/>
        <v>941.1177460591457</v>
      </c>
      <c r="M91" s="71">
        <f t="shared" ca="1" si="27"/>
        <v>855.13215984318435</v>
      </c>
      <c r="N91" s="71">
        <f t="shared" ca="1" si="27"/>
        <v>751.49701087676567</v>
      </c>
      <c r="O91" s="71">
        <f t="shared" ca="1" si="27"/>
        <v>626.81541352710769</v>
      </c>
    </row>
    <row r="92" spans="2:16" ht="12.95" customHeight="1" x14ac:dyDescent="0.2">
      <c r="B92" s="3" t="str">
        <f>+B168</f>
        <v>Equity</v>
      </c>
      <c r="C92" s="3"/>
      <c r="D92" s="3"/>
      <c r="E92" s="3"/>
      <c r="F92" s="3"/>
      <c r="G92" s="3"/>
      <c r="H92" s="3"/>
      <c r="I92" s="3"/>
      <c r="J92" s="105">
        <f>+J168</f>
        <v>899.50554869999974</v>
      </c>
      <c r="K92" s="66">
        <f t="shared" ref="K92:O92" ca="1" si="28">+K168</f>
        <v>959.66589186404076</v>
      </c>
      <c r="L92" s="66">
        <f t="shared" ca="1" si="28"/>
        <v>1033.9927280359989</v>
      </c>
      <c r="M92" s="66">
        <f t="shared" ca="1" si="28"/>
        <v>1124.0227062257893</v>
      </c>
      <c r="N92" s="66">
        <f t="shared" ca="1" si="28"/>
        <v>1231.5685576319704</v>
      </c>
      <c r="O92" s="66">
        <f t="shared" ca="1" si="28"/>
        <v>1359.9715466776242</v>
      </c>
    </row>
    <row r="93" spans="2:16" ht="12.95" customHeight="1" x14ac:dyDescent="0.2">
      <c r="B93" s="69" t="s">
        <v>172</v>
      </c>
      <c r="C93" s="69"/>
      <c r="D93" s="69"/>
      <c r="E93" s="69"/>
      <c r="F93" s="69"/>
      <c r="G93" s="69"/>
      <c r="H93" s="69"/>
      <c r="I93" s="69"/>
      <c r="J93" s="106">
        <f>SUM(J91:J92)</f>
        <v>1970.2822336999993</v>
      </c>
      <c r="K93" s="71">
        <f t="shared" ref="K93:O93" ca="1" si="29">SUM(K91:K92)</f>
        <v>1970.9815464770356</v>
      </c>
      <c r="L93" s="71">
        <f t="shared" ca="1" si="29"/>
        <v>1975.1104740951446</v>
      </c>
      <c r="M93" s="71">
        <f t="shared" ca="1" si="29"/>
        <v>1979.1548660689737</v>
      </c>
      <c r="N93" s="71">
        <f t="shared" ca="1" si="29"/>
        <v>1983.0655685087361</v>
      </c>
      <c r="O93" s="71">
        <f t="shared" ca="1" si="29"/>
        <v>1986.7869602047319</v>
      </c>
    </row>
    <row r="94" spans="2:16" ht="12.95" customHeight="1" x14ac:dyDescent="0.2">
      <c r="J94" s="107"/>
      <c r="K94" s="4"/>
    </row>
    <row r="95" spans="2:16" ht="12.95" customHeight="1" x14ac:dyDescent="0.2">
      <c r="B95" s="24" t="s">
        <v>173</v>
      </c>
      <c r="J95" s="102"/>
      <c r="K95" s="284"/>
      <c r="O95" s="108"/>
      <c r="P95" s="109"/>
    </row>
    <row r="96" spans="2:16" ht="12.95" customHeight="1" x14ac:dyDescent="0.2">
      <c r="B96" s="1" t="s">
        <v>174</v>
      </c>
      <c r="J96" s="281">
        <f>+J91/J64</f>
        <v>5.5</v>
      </c>
      <c r="K96" s="111">
        <f t="shared" ref="K96:O96" ca="1" si="30">+K91/K64</f>
        <v>4.7898742194782145</v>
      </c>
      <c r="L96" s="111">
        <f t="shared" ca="1" si="30"/>
        <v>4.0701486532963784</v>
      </c>
      <c r="M96" s="111">
        <f t="shared" ca="1" si="30"/>
        <v>3.3787609398737035</v>
      </c>
      <c r="N96" s="111">
        <f t="shared" ca="1" si="30"/>
        <v>2.714114847799924</v>
      </c>
      <c r="O96" s="111">
        <f t="shared" ca="1" si="30"/>
        <v>2.0702685599750175</v>
      </c>
      <c r="P96" s="109"/>
    </row>
    <row r="97" spans="1:16" ht="12.95" customHeight="1" x14ac:dyDescent="0.2">
      <c r="B97" s="1" t="s">
        <v>175</v>
      </c>
      <c r="J97" s="281">
        <f>+(J91-J82)/J64</f>
        <v>5.5</v>
      </c>
      <c r="K97" s="111">
        <f t="shared" ref="K97:O97" ca="1" si="31">+(K91-K82)/K64</f>
        <v>4.7661928189301772</v>
      </c>
      <c r="L97" s="111">
        <f t="shared" ca="1" si="31"/>
        <v>4.0485246393494529</v>
      </c>
      <c r="M97" s="111">
        <f t="shared" ca="1" si="31"/>
        <v>3.3590051576768718</v>
      </c>
      <c r="N97" s="111">
        <f t="shared" ca="1" si="31"/>
        <v>2.6960567929539478</v>
      </c>
      <c r="O97" s="111">
        <f t="shared" ca="1" si="31"/>
        <v>2.0537543796015201</v>
      </c>
      <c r="P97" s="109"/>
    </row>
    <row r="98" spans="1:16" ht="12.95" customHeight="1" x14ac:dyDescent="0.2">
      <c r="B98" s="1" t="s">
        <v>176</v>
      </c>
      <c r="J98" s="107"/>
      <c r="K98" s="114">
        <f ca="1">+K78/K91</f>
        <v>7.9782132498035535E-2</v>
      </c>
      <c r="L98" s="114">
        <f t="shared" ref="L98:O98" ca="1" si="32">+L78/L91</f>
        <v>9.3265469546133115E-2</v>
      </c>
      <c r="M98" s="114">
        <f t="shared" ca="1" si="32"/>
        <v>0.12281858610797219</v>
      </c>
      <c r="N98" s="114">
        <f t="shared" ca="1" si="32"/>
        <v>0.1651735664047646</v>
      </c>
      <c r="O98" s="114">
        <f t="shared" ca="1" si="32"/>
        <v>0.22474999383486041</v>
      </c>
    </row>
    <row r="99" spans="1:16" ht="12.95" customHeight="1" x14ac:dyDescent="0.2">
      <c r="J99" s="107"/>
      <c r="K99" s="4"/>
      <c r="O99" s="76"/>
    </row>
    <row r="100" spans="1:16" ht="12.95" customHeight="1" x14ac:dyDescent="0.2">
      <c r="B100" s="1" t="s">
        <v>177</v>
      </c>
      <c r="J100" s="107"/>
      <c r="K100" s="111">
        <f ca="1">+K64/K67</f>
        <v>3.0944376599508874</v>
      </c>
      <c r="L100" s="111">
        <f t="shared" ref="L100:O100" ca="1" si="33">+L64/L67</f>
        <v>3.6292840836652842</v>
      </c>
      <c r="M100" s="111">
        <f t="shared" ca="1" si="33"/>
        <v>4.3330912404284874</v>
      </c>
      <c r="N100" s="111">
        <f t="shared" ca="1" si="33"/>
        <v>5.3047017296274506</v>
      </c>
      <c r="O100" s="111">
        <f t="shared" ca="1" si="33"/>
        <v>6.1952070162125752</v>
      </c>
    </row>
    <row r="101" spans="1:16" ht="12.95" customHeight="1" x14ac:dyDescent="0.2">
      <c r="B101" s="1" t="s">
        <v>178</v>
      </c>
      <c r="J101" s="179"/>
      <c r="K101" s="111">
        <f ca="1">+(K64-K68)/K67</f>
        <v>2.423841509099911</v>
      </c>
      <c r="L101" s="111">
        <f t="shared" ref="L101:O101" ca="1" si="34">+(L64-L68)/L67</f>
        <v>2.8515803514512945</v>
      </c>
      <c r="M101" s="111">
        <f t="shared" ca="1" si="34"/>
        <v>3.4146055660234458</v>
      </c>
      <c r="N101" s="111">
        <f t="shared" ca="1" si="34"/>
        <v>4.1920081960958386</v>
      </c>
      <c r="O101" s="111">
        <f t="shared" ca="1" si="34"/>
        <v>4.9088513827746416</v>
      </c>
    </row>
    <row r="103" spans="1:16" ht="12.95" customHeight="1" x14ac:dyDescent="0.2">
      <c r="A103" s="1" t="s">
        <v>39</v>
      </c>
      <c r="B103" s="50" t="s">
        <v>194</v>
      </c>
      <c r="C103" s="51"/>
      <c r="D103" s="51"/>
      <c r="E103" s="51"/>
      <c r="F103" s="51"/>
      <c r="G103" s="51"/>
      <c r="H103" s="51"/>
      <c r="I103" s="51"/>
      <c r="J103" s="51"/>
      <c r="K103" s="51"/>
      <c r="L103" s="51"/>
      <c r="M103" s="51"/>
      <c r="N103" s="51"/>
      <c r="O103" s="73"/>
    </row>
    <row r="104" spans="1:16" ht="12.95" customHeight="1" x14ac:dyDescent="0.2">
      <c r="B104" s="4"/>
      <c r="C104" s="4"/>
      <c r="D104" s="4"/>
      <c r="E104" s="4"/>
      <c r="F104" s="4"/>
      <c r="G104" s="4"/>
      <c r="H104" s="4"/>
      <c r="I104" s="4"/>
      <c r="J104" s="4"/>
      <c r="K104" s="4"/>
      <c r="L104" s="4"/>
      <c r="M104" s="4"/>
      <c r="N104" s="4"/>
      <c r="O104" s="4"/>
    </row>
    <row r="105" spans="1:16" ht="12.95" customHeight="1" x14ac:dyDescent="0.35">
      <c r="B105" s="4"/>
      <c r="C105" s="4"/>
      <c r="D105" s="4"/>
      <c r="E105" s="4"/>
      <c r="F105" s="4"/>
      <c r="G105" s="4"/>
      <c r="H105" s="10" t="str">
        <f>+$K$34</f>
        <v>Fiscal Year Ended 12/31</v>
      </c>
      <c r="I105" s="11"/>
      <c r="J105" s="11"/>
      <c r="K105" s="11"/>
      <c r="L105" s="11"/>
      <c r="M105" s="11"/>
      <c r="N105" s="11"/>
      <c r="O105" s="11"/>
    </row>
    <row r="106" spans="1:16" ht="12.95" customHeight="1" x14ac:dyDescent="0.2">
      <c r="B106" s="4"/>
      <c r="C106" s="4"/>
      <c r="D106" s="4"/>
      <c r="E106" s="4"/>
      <c r="F106" s="4"/>
      <c r="G106" s="4"/>
      <c r="H106" s="116">
        <f>+I106-1</f>
        <v>2017</v>
      </c>
      <c r="I106" s="116">
        <f>+J106-1</f>
        <v>2018</v>
      </c>
      <c r="J106" s="117">
        <f>+K106-1</f>
        <v>2019</v>
      </c>
      <c r="K106" s="118">
        <f>+E7</f>
        <v>2020</v>
      </c>
      <c r="L106" s="118">
        <f>+K106+1</f>
        <v>2021</v>
      </c>
      <c r="M106" s="118">
        <f>+L106+1</f>
        <v>2022</v>
      </c>
      <c r="N106" s="118">
        <f>+M106+1</f>
        <v>2023</v>
      </c>
      <c r="O106" s="118">
        <f>+N106+1</f>
        <v>2024</v>
      </c>
    </row>
    <row r="107" spans="1:16" ht="12.95" customHeight="1" x14ac:dyDescent="0.2">
      <c r="B107" s="4" t="s">
        <v>33</v>
      </c>
      <c r="C107" s="4"/>
      <c r="D107" s="4"/>
      <c r="E107" s="4"/>
      <c r="F107" s="4"/>
      <c r="G107" s="4"/>
      <c r="H107" s="119">
        <v>900</v>
      </c>
      <c r="I107" s="119">
        <v>963</v>
      </c>
      <c r="J107" s="231">
        <v>1030.4100000000001</v>
      </c>
      <c r="K107" s="232">
        <f>+J107*(1+K129)</f>
        <v>1102.5387000000001</v>
      </c>
      <c r="L107" s="232">
        <f>+K107*(1+L129)</f>
        <v>1179.7164090000001</v>
      </c>
      <c r="M107" s="232">
        <f>+L107*(1+M129)</f>
        <v>1262.2965576300003</v>
      </c>
      <c r="N107" s="232">
        <f>+M107*(1+N129)</f>
        <v>1350.6573166641003</v>
      </c>
      <c r="O107" s="232">
        <f>+N107*(1+O129)</f>
        <v>1445.2033288305875</v>
      </c>
    </row>
    <row r="108" spans="1:16" ht="12.95" customHeight="1" x14ac:dyDescent="0.2">
      <c r="B108" s="3" t="s">
        <v>24</v>
      </c>
      <c r="C108" s="3"/>
      <c r="D108" s="3"/>
      <c r="E108" s="3"/>
      <c r="F108" s="3"/>
      <c r="G108" s="3"/>
      <c r="H108" s="120">
        <v>-513</v>
      </c>
      <c r="I108" s="120">
        <v>-547.947</v>
      </c>
      <c r="J108" s="127">
        <v>-585.2728800000001</v>
      </c>
      <c r="K108" s="233">
        <f>-(K107*(1-K130))</f>
        <v>-624.03690420000009</v>
      </c>
      <c r="L108" s="233">
        <f>-(L107*(1-L130))</f>
        <v>-665.36005467600012</v>
      </c>
      <c r="M108" s="233">
        <f>-(M107*(1-M130))</f>
        <v>-709.41066538806024</v>
      </c>
      <c r="N108" s="233">
        <f>-(N107*(1-N130))</f>
        <v>-756.36809733189625</v>
      </c>
      <c r="O108" s="233">
        <f>-(O107*(1-O130))</f>
        <v>-806.42345748746789</v>
      </c>
    </row>
    <row r="109" spans="1:16" ht="12.95" customHeight="1" x14ac:dyDescent="0.2">
      <c r="B109" s="4" t="s">
        <v>17</v>
      </c>
      <c r="C109" s="4"/>
      <c r="D109" s="4"/>
      <c r="E109" s="4"/>
      <c r="F109" s="4"/>
      <c r="G109" s="4"/>
      <c r="H109" s="121">
        <f t="shared" ref="H109:O109" si="35">SUM(H107:H108)</f>
        <v>387</v>
      </c>
      <c r="I109" s="121">
        <f t="shared" si="35"/>
        <v>415.053</v>
      </c>
      <c r="J109" s="126">
        <f t="shared" si="35"/>
        <v>445.13711999999998</v>
      </c>
      <c r="K109" s="62">
        <f t="shared" si="35"/>
        <v>478.50179579999997</v>
      </c>
      <c r="L109" s="62">
        <f t="shared" si="35"/>
        <v>514.35635432399999</v>
      </c>
      <c r="M109" s="62">
        <f t="shared" si="35"/>
        <v>552.88589224194004</v>
      </c>
      <c r="N109" s="62">
        <f t="shared" si="35"/>
        <v>594.28921933220408</v>
      </c>
      <c r="O109" s="62">
        <f t="shared" si="35"/>
        <v>638.77987134311957</v>
      </c>
    </row>
    <row r="110" spans="1:16" ht="12.95" customHeight="1" x14ac:dyDescent="0.2">
      <c r="B110" s="3" t="s">
        <v>18</v>
      </c>
      <c r="C110" s="3"/>
      <c r="D110" s="3"/>
      <c r="E110" s="3"/>
      <c r="F110" s="3"/>
      <c r="G110" s="3"/>
      <c r="H110" s="120">
        <v>-252.00000000000003</v>
      </c>
      <c r="I110" s="120">
        <v>-270.60300000000001</v>
      </c>
      <c r="J110" s="127">
        <v>-290.57562000000007</v>
      </c>
      <c r="K110" s="62">
        <f>-K107*K131</f>
        <v>-309.26210535000007</v>
      </c>
      <c r="L110" s="62">
        <f>-L107*L131</f>
        <v>-329.14087811100006</v>
      </c>
      <c r="M110" s="62">
        <f>-M107*M131</f>
        <v>-350.28729474232512</v>
      </c>
      <c r="N110" s="62">
        <f>-N107*N131</f>
        <v>-372.78141939929174</v>
      </c>
      <c r="O110" s="62">
        <f>-O107*O131</f>
        <v>-396.70831376399627</v>
      </c>
    </row>
    <row r="111" spans="1:16" ht="12.95" customHeight="1" x14ac:dyDescent="0.2">
      <c r="B111" s="69" t="s">
        <v>25</v>
      </c>
      <c r="C111" s="69"/>
      <c r="D111" s="69"/>
      <c r="E111" s="69"/>
      <c r="F111" s="69"/>
      <c r="G111" s="69"/>
      <c r="H111" s="122">
        <f t="shared" ref="H111:O111" si="36">+SUM(H109:H110)</f>
        <v>134.99999999999997</v>
      </c>
      <c r="I111" s="122">
        <f t="shared" si="36"/>
        <v>144.44999999999999</v>
      </c>
      <c r="J111" s="128">
        <f t="shared" si="36"/>
        <v>154.56149999999991</v>
      </c>
      <c r="K111" s="96">
        <f t="shared" si="36"/>
        <v>169.2396904499999</v>
      </c>
      <c r="L111" s="96">
        <f t="shared" si="36"/>
        <v>185.21547621299993</v>
      </c>
      <c r="M111" s="96">
        <f t="shared" si="36"/>
        <v>202.59859749961493</v>
      </c>
      <c r="N111" s="96">
        <f t="shared" si="36"/>
        <v>221.50779993291235</v>
      </c>
      <c r="O111" s="96">
        <f t="shared" si="36"/>
        <v>242.07155757912329</v>
      </c>
    </row>
    <row r="112" spans="1:16" ht="12.95" customHeight="1" x14ac:dyDescent="0.2">
      <c r="B112" s="4" t="s">
        <v>20</v>
      </c>
      <c r="C112" s="4"/>
      <c r="D112" s="4"/>
      <c r="E112" s="4"/>
      <c r="F112" s="4"/>
      <c r="G112" s="4"/>
      <c r="H112" s="120">
        <v>0</v>
      </c>
      <c r="I112" s="120">
        <v>5.0000000000000001E-3</v>
      </c>
      <c r="J112" s="127">
        <v>7.4999999999999997E-3</v>
      </c>
      <c r="K112" s="62">
        <f ca="1">+K309</f>
        <v>2.5000000000000001E-2</v>
      </c>
      <c r="L112" s="62">
        <f ca="1">+L309</f>
        <v>0.05</v>
      </c>
      <c r="M112" s="62">
        <f ca="1">+M309</f>
        <v>0.05</v>
      </c>
      <c r="N112" s="62">
        <f ca="1">+N309</f>
        <v>0.05</v>
      </c>
      <c r="O112" s="62">
        <f ca="1">+O309</f>
        <v>0.05</v>
      </c>
    </row>
    <row r="113" spans="2:15" ht="12.95" customHeight="1" x14ac:dyDescent="0.2">
      <c r="B113" s="3" t="s">
        <v>198</v>
      </c>
      <c r="C113" s="3"/>
      <c r="D113" s="3"/>
      <c r="E113" s="3"/>
      <c r="F113" s="3"/>
      <c r="G113" s="3"/>
      <c r="H113" s="120">
        <v>0</v>
      </c>
      <c r="I113" s="120">
        <v>0</v>
      </c>
      <c r="J113" s="127">
        <v>0</v>
      </c>
      <c r="K113" s="62">
        <f ca="1">-SUM(K320,K42)</f>
        <v>-87.966929417512091</v>
      </c>
      <c r="L113" s="62">
        <f ca="1">-SUM(L320,L42)</f>
        <v>-84.823805710353895</v>
      </c>
      <c r="M113" s="62">
        <f ca="1">-SUM(M320,M42)</f>
        <v>-80.986464810708995</v>
      </c>
      <c r="N113" s="62">
        <f ca="1">-SUM(N320,N42)</f>
        <v>-76.225568302937845</v>
      </c>
      <c r="O113" s="62">
        <f ca="1">-SUM(O320,O42)</f>
        <v>-68.60400481472638</v>
      </c>
    </row>
    <row r="114" spans="2:15" ht="12.95" customHeight="1" x14ac:dyDescent="0.2">
      <c r="B114" s="4" t="s">
        <v>26</v>
      </c>
      <c r="C114" s="4"/>
      <c r="D114" s="4"/>
      <c r="E114" s="4"/>
      <c r="F114" s="4"/>
      <c r="G114" s="4"/>
      <c r="H114" s="121">
        <f t="shared" ref="H114:O114" si="37">+SUM(H111:H113)</f>
        <v>134.99999999999997</v>
      </c>
      <c r="I114" s="121">
        <f t="shared" si="37"/>
        <v>144.45499999999998</v>
      </c>
      <c r="J114" s="126">
        <f t="shared" si="37"/>
        <v>154.5689999999999</v>
      </c>
      <c r="K114" s="222">
        <f t="shared" ca="1" si="37"/>
        <v>81.297761032487813</v>
      </c>
      <c r="L114" s="222">
        <f t="shared" ca="1" si="37"/>
        <v>100.44167050264605</v>
      </c>
      <c r="M114" s="222">
        <f t="shared" ca="1" si="37"/>
        <v>121.66213268890594</v>
      </c>
      <c r="N114" s="222">
        <f t="shared" ca="1" si="37"/>
        <v>145.3322316299745</v>
      </c>
      <c r="O114" s="222">
        <f t="shared" ca="1" si="37"/>
        <v>173.51755276439692</v>
      </c>
    </row>
    <row r="115" spans="2:15" ht="12.95" customHeight="1" x14ac:dyDescent="0.2">
      <c r="B115" s="4" t="s">
        <v>22</v>
      </c>
      <c r="C115" s="4"/>
      <c r="D115" s="4"/>
      <c r="E115" s="4"/>
      <c r="F115" s="4"/>
      <c r="G115" s="4"/>
      <c r="H115" s="120">
        <v>-47.249999999999986</v>
      </c>
      <c r="I115" s="120">
        <v>-37.558299999999996</v>
      </c>
      <c r="J115" s="127">
        <v>-40.187939999999976</v>
      </c>
      <c r="K115" s="62">
        <f ca="1">-K114*K134</f>
        <v>-21.137417868446832</v>
      </c>
      <c r="L115" s="62">
        <f ca="1">-L114*L134</f>
        <v>-26.114834330687973</v>
      </c>
      <c r="M115" s="62">
        <f ca="1">-M114*M134</f>
        <v>-31.632154499115547</v>
      </c>
      <c r="N115" s="62">
        <f ca="1">-N114*N134</f>
        <v>-37.786380223793373</v>
      </c>
      <c r="O115" s="62">
        <f ca="1">-O114*O134</f>
        <v>-45.114563718743199</v>
      </c>
    </row>
    <row r="116" spans="2:15" ht="12.95" customHeight="1" x14ac:dyDescent="0.2">
      <c r="B116" s="20" t="s">
        <v>23</v>
      </c>
      <c r="C116" s="21"/>
      <c r="D116" s="21"/>
      <c r="E116" s="21"/>
      <c r="F116" s="21"/>
      <c r="G116" s="21"/>
      <c r="H116" s="122">
        <f t="shared" ref="H116:O116" si="38">+SUM(H114:H115)</f>
        <v>87.749999999999986</v>
      </c>
      <c r="I116" s="122">
        <f t="shared" si="38"/>
        <v>106.89669999999998</v>
      </c>
      <c r="J116" s="128">
        <f t="shared" si="38"/>
        <v>114.38105999999993</v>
      </c>
      <c r="K116" s="234">
        <f t="shared" ca="1" si="38"/>
        <v>60.160343164040981</v>
      </c>
      <c r="L116" s="234">
        <f t="shared" ca="1" si="38"/>
        <v>74.326836171958078</v>
      </c>
      <c r="M116" s="234">
        <f t="shared" ca="1" si="38"/>
        <v>90.029978189790398</v>
      </c>
      <c r="N116" s="234">
        <f t="shared" ca="1" si="38"/>
        <v>107.54585140618113</v>
      </c>
      <c r="O116" s="235">
        <f t="shared" ca="1" si="38"/>
        <v>128.40298904565373</v>
      </c>
    </row>
    <row r="117" spans="2:15" ht="12.95" customHeight="1" x14ac:dyDescent="0.2">
      <c r="B117" s="4"/>
      <c r="C117" s="4"/>
      <c r="D117" s="4"/>
      <c r="E117" s="4"/>
      <c r="F117" s="4"/>
      <c r="G117" s="4"/>
      <c r="H117" s="123"/>
      <c r="I117" s="123"/>
      <c r="J117" s="124"/>
      <c r="K117" s="244"/>
      <c r="L117" s="244"/>
      <c r="M117" s="244"/>
      <c r="N117" s="244"/>
      <c r="O117" s="244"/>
    </row>
    <row r="118" spans="2:15" ht="12.95" customHeight="1" x14ac:dyDescent="0.2">
      <c r="B118" s="2" t="s">
        <v>37</v>
      </c>
      <c r="C118" s="3"/>
      <c r="D118" s="3"/>
      <c r="E118" s="3"/>
      <c r="F118" s="3"/>
      <c r="G118" s="3"/>
      <c r="H118" s="60"/>
      <c r="I118" s="60"/>
      <c r="J118" s="125"/>
      <c r="K118" s="60"/>
      <c r="L118" s="60"/>
      <c r="M118" s="60"/>
      <c r="N118" s="60"/>
      <c r="O118" s="60"/>
    </row>
    <row r="119" spans="2:15" ht="12.95" customHeight="1" x14ac:dyDescent="0.2">
      <c r="B119" s="4" t="s">
        <v>19</v>
      </c>
      <c r="C119" s="4"/>
      <c r="D119" s="4"/>
      <c r="E119" s="4"/>
      <c r="F119" s="4"/>
      <c r="G119" s="4"/>
      <c r="H119" s="121">
        <f t="shared" ref="H119:O119" si="39">+H111</f>
        <v>134.99999999999997</v>
      </c>
      <c r="I119" s="121">
        <f t="shared" si="39"/>
        <v>144.44999999999999</v>
      </c>
      <c r="J119" s="126">
        <f t="shared" si="39"/>
        <v>154.56149999999991</v>
      </c>
      <c r="K119" s="222">
        <f t="shared" si="39"/>
        <v>169.2396904499999</v>
      </c>
      <c r="L119" s="222">
        <f t="shared" si="39"/>
        <v>185.21547621299993</v>
      </c>
      <c r="M119" s="222">
        <f t="shared" si="39"/>
        <v>202.59859749961493</v>
      </c>
      <c r="N119" s="222">
        <f t="shared" si="39"/>
        <v>221.50779993291235</v>
      </c>
      <c r="O119" s="222">
        <f t="shared" si="39"/>
        <v>242.07155757912329</v>
      </c>
    </row>
    <row r="120" spans="2:15" ht="12.95" customHeight="1" x14ac:dyDescent="0.2">
      <c r="B120" s="3" t="s">
        <v>34</v>
      </c>
      <c r="C120" s="3"/>
      <c r="D120" s="3"/>
      <c r="E120" s="3"/>
      <c r="F120" s="3"/>
      <c r="G120" s="3"/>
      <c r="H120" s="120">
        <v>31.500000000000004</v>
      </c>
      <c r="I120" s="120">
        <v>34.668000000000006</v>
      </c>
      <c r="J120" s="127">
        <v>38.125170000000011</v>
      </c>
      <c r="K120" s="62">
        <f>+K136*K107</f>
        <v>41.896470600000008</v>
      </c>
      <c r="L120" s="62">
        <f>+L136*L107</f>
        <v>46.008939951000009</v>
      </c>
      <c r="M120" s="62">
        <f>+M136*M107</f>
        <v>50.491862305200023</v>
      </c>
      <c r="N120" s="62">
        <f>+N136*N107</f>
        <v>55.376949983228123</v>
      </c>
      <c r="O120" s="62">
        <f>+O136*O107</f>
        <v>60.698539810884689</v>
      </c>
    </row>
    <row r="121" spans="2:15" ht="12.95" customHeight="1" x14ac:dyDescent="0.2">
      <c r="B121" s="4" t="s">
        <v>35</v>
      </c>
      <c r="C121" s="4"/>
      <c r="D121" s="4"/>
      <c r="E121" s="4"/>
      <c r="F121" s="4"/>
      <c r="G121" s="4"/>
      <c r="H121" s="121">
        <f t="shared" ref="H121:O121" si="40">SUM(H119:H120)</f>
        <v>166.49999999999997</v>
      </c>
      <c r="I121" s="121">
        <f t="shared" si="40"/>
        <v>179.11799999999999</v>
      </c>
      <c r="J121" s="126">
        <f t="shared" si="40"/>
        <v>192.68666999999994</v>
      </c>
      <c r="K121" s="222">
        <f t="shared" si="40"/>
        <v>211.13616104999991</v>
      </c>
      <c r="L121" s="222">
        <f t="shared" si="40"/>
        <v>231.22441616399993</v>
      </c>
      <c r="M121" s="222">
        <f t="shared" si="40"/>
        <v>253.09045980481494</v>
      </c>
      <c r="N121" s="222">
        <f t="shared" si="40"/>
        <v>276.88474991614049</v>
      </c>
      <c r="O121" s="222">
        <f t="shared" si="40"/>
        <v>302.770097390008</v>
      </c>
    </row>
    <row r="122" spans="2:15" ht="12.95" customHeight="1" x14ac:dyDescent="0.2">
      <c r="B122" s="4" t="s">
        <v>38</v>
      </c>
      <c r="C122" s="4"/>
      <c r="D122" s="4"/>
      <c r="E122" s="4"/>
      <c r="F122" s="4"/>
      <c r="G122" s="4"/>
      <c r="H122" s="120">
        <v>7</v>
      </c>
      <c r="I122" s="120">
        <v>5</v>
      </c>
      <c r="J122" s="127">
        <v>2</v>
      </c>
      <c r="K122" s="120">
        <v>0</v>
      </c>
      <c r="L122" s="120">
        <v>0</v>
      </c>
      <c r="M122" s="120">
        <v>0</v>
      </c>
      <c r="N122" s="120">
        <v>0</v>
      </c>
      <c r="O122" s="120">
        <v>0</v>
      </c>
    </row>
    <row r="123" spans="2:15" s="76" customFormat="1" ht="12.95" customHeight="1" x14ac:dyDescent="0.2">
      <c r="B123" s="20" t="s">
        <v>36</v>
      </c>
      <c r="C123" s="21"/>
      <c r="D123" s="21"/>
      <c r="E123" s="21"/>
      <c r="F123" s="21"/>
      <c r="G123" s="21"/>
      <c r="H123" s="122">
        <f t="shared" ref="H123:O123" si="41">+SUM(H121:H122)</f>
        <v>173.49999999999997</v>
      </c>
      <c r="I123" s="122">
        <f t="shared" si="41"/>
        <v>184.11799999999999</v>
      </c>
      <c r="J123" s="128">
        <f t="shared" si="41"/>
        <v>194.68666999999994</v>
      </c>
      <c r="K123" s="96">
        <f t="shared" si="41"/>
        <v>211.13616104999991</v>
      </c>
      <c r="L123" s="96">
        <f t="shared" si="41"/>
        <v>231.22441616399993</v>
      </c>
      <c r="M123" s="96">
        <f t="shared" si="41"/>
        <v>253.09045980481494</v>
      </c>
      <c r="N123" s="96">
        <f t="shared" si="41"/>
        <v>276.88474991614049</v>
      </c>
      <c r="O123" s="97">
        <f t="shared" si="41"/>
        <v>302.770097390008</v>
      </c>
    </row>
    <row r="124" spans="2:15" ht="12.95" customHeight="1" x14ac:dyDescent="0.2">
      <c r="B124" s="4"/>
      <c r="C124" s="4"/>
      <c r="D124" s="4"/>
      <c r="E124" s="4"/>
      <c r="F124" s="4"/>
      <c r="G124" s="4"/>
      <c r="H124" s="123"/>
      <c r="I124" s="123"/>
      <c r="J124" s="124"/>
      <c r="K124" s="243"/>
      <c r="L124" s="243"/>
      <c r="M124" s="243"/>
      <c r="N124" s="243"/>
      <c r="O124" s="243"/>
    </row>
    <row r="125" spans="2:15" ht="12.95" customHeight="1" x14ac:dyDescent="0.2">
      <c r="B125" s="129" t="s">
        <v>114</v>
      </c>
      <c r="C125" s="4"/>
      <c r="D125" s="4"/>
      <c r="E125" s="4"/>
      <c r="F125" s="4"/>
      <c r="G125" s="4"/>
      <c r="H125" s="60"/>
      <c r="I125" s="60"/>
      <c r="J125" s="125"/>
      <c r="K125" s="60"/>
      <c r="L125" s="60"/>
      <c r="M125" s="60"/>
      <c r="N125" s="60"/>
      <c r="O125" s="60"/>
    </row>
    <row r="126" spans="2:15" ht="12.95" customHeight="1" x14ac:dyDescent="0.2">
      <c r="B126" s="4" t="s">
        <v>71</v>
      </c>
      <c r="C126" s="4"/>
      <c r="D126" s="4"/>
      <c r="E126" s="4"/>
      <c r="F126" s="4"/>
      <c r="G126" s="4"/>
      <c r="H126" s="227">
        <v>36</v>
      </c>
      <c r="I126" s="227">
        <v>39.0015</v>
      </c>
      <c r="J126" s="228">
        <v>42.246810000000004</v>
      </c>
      <c r="K126" s="130">
        <f>+K135*K107</f>
        <v>45.755356050000003</v>
      </c>
      <c r="L126" s="130">
        <f>+L135*L107</f>
        <v>49.548089178000005</v>
      </c>
      <c r="M126" s="130">
        <f>+M135*M107</f>
        <v>53.647603699275017</v>
      </c>
      <c r="N126" s="130">
        <f>+N135*N107</f>
        <v>58.078264616556318</v>
      </c>
      <c r="O126" s="130">
        <f>+O135*O107</f>
        <v>62.866344804130563</v>
      </c>
    </row>
    <row r="127" spans="2:15" ht="12.95" customHeight="1" x14ac:dyDescent="0.2">
      <c r="B127" s="4"/>
      <c r="C127" s="4"/>
      <c r="D127" s="4"/>
      <c r="E127" s="4"/>
      <c r="F127" s="4"/>
      <c r="G127" s="4"/>
      <c r="H127" s="4"/>
      <c r="I127" s="4"/>
      <c r="J127" s="131"/>
      <c r="K127" s="4"/>
      <c r="L127" s="4"/>
      <c r="M127" s="4"/>
      <c r="N127" s="4"/>
      <c r="O127" s="4"/>
    </row>
    <row r="128" spans="2:15" ht="12.95" customHeight="1" x14ac:dyDescent="0.2">
      <c r="B128" s="132" t="s">
        <v>27</v>
      </c>
      <c r="C128" s="3"/>
      <c r="D128" s="3"/>
      <c r="E128" s="3"/>
      <c r="F128" s="3"/>
      <c r="G128" s="3"/>
      <c r="H128" s="3"/>
      <c r="I128" s="3"/>
      <c r="J128" s="133"/>
      <c r="K128" s="3"/>
      <c r="L128" s="3"/>
      <c r="M128" s="3"/>
      <c r="N128" s="3"/>
      <c r="O128" s="3"/>
    </row>
    <row r="129" spans="1:24" s="4" customFormat="1" ht="12.95" customHeight="1" x14ac:dyDescent="0.2">
      <c r="B129" s="4" t="s">
        <v>28</v>
      </c>
      <c r="H129" s="134"/>
      <c r="I129" s="193">
        <f>+I107/H107-1</f>
        <v>7.0000000000000062E-2</v>
      </c>
      <c r="J129" s="194">
        <f>+J107/I107-1</f>
        <v>7.0000000000000062E-2</v>
      </c>
      <c r="K129" s="134">
        <v>7.0000000000000007E-2</v>
      </c>
      <c r="L129" s="134">
        <v>7.0000000000000007E-2</v>
      </c>
      <c r="M129" s="134">
        <v>7.0000000000000007E-2</v>
      </c>
      <c r="N129" s="134">
        <v>7.0000000000000007E-2</v>
      </c>
      <c r="O129" s="134">
        <v>7.0000000000000007E-2</v>
      </c>
    </row>
    <row r="130" spans="1:24" s="4" customFormat="1" ht="12.95" customHeight="1" x14ac:dyDescent="0.2">
      <c r="B130" s="4" t="s">
        <v>29</v>
      </c>
      <c r="H130" s="193">
        <f>+H109/H107</f>
        <v>0.43</v>
      </c>
      <c r="I130" s="193">
        <f>+I109/I107</f>
        <v>0.43099999999999999</v>
      </c>
      <c r="J130" s="194">
        <f>+J109/J107</f>
        <v>0.43199999999999994</v>
      </c>
      <c r="K130" s="134">
        <f>+J130+0.002</f>
        <v>0.43399999999999994</v>
      </c>
      <c r="L130" s="134">
        <f t="shared" ref="L130:O130" si="42">+K130+0.002</f>
        <v>0.43599999999999994</v>
      </c>
      <c r="M130" s="134">
        <f t="shared" si="42"/>
        <v>0.43799999999999994</v>
      </c>
      <c r="N130" s="134">
        <f t="shared" si="42"/>
        <v>0.43999999999999995</v>
      </c>
      <c r="O130" s="134">
        <f t="shared" si="42"/>
        <v>0.44199999999999995</v>
      </c>
    </row>
    <row r="131" spans="1:24" s="4" customFormat="1" ht="12.95" customHeight="1" x14ac:dyDescent="0.2">
      <c r="B131" s="4" t="s">
        <v>116</v>
      </c>
      <c r="H131" s="193">
        <f>-H110/H107</f>
        <v>0.28000000000000003</v>
      </c>
      <c r="I131" s="193">
        <f>-I110/I107</f>
        <v>0.28100000000000003</v>
      </c>
      <c r="J131" s="194">
        <f>-J110/J107</f>
        <v>0.28200000000000003</v>
      </c>
      <c r="K131" s="134">
        <f>+J131-0.0015</f>
        <v>0.28050000000000003</v>
      </c>
      <c r="L131" s="134">
        <f t="shared" ref="L131:O131" si="43">+K131-0.0015</f>
        <v>0.27900000000000003</v>
      </c>
      <c r="M131" s="134">
        <f t="shared" si="43"/>
        <v>0.27750000000000002</v>
      </c>
      <c r="N131" s="134">
        <f t="shared" si="43"/>
        <v>0.27600000000000002</v>
      </c>
      <c r="O131" s="134">
        <f t="shared" si="43"/>
        <v>0.27450000000000002</v>
      </c>
    </row>
    <row r="132" spans="1:24" s="4" customFormat="1" ht="12.95" customHeight="1" x14ac:dyDescent="0.2">
      <c r="B132" s="4" t="s">
        <v>30</v>
      </c>
      <c r="H132" s="135">
        <f t="shared" ref="H132:O132" si="44">+H123/H107</f>
        <v>0.19277777777777774</v>
      </c>
      <c r="I132" s="135">
        <f t="shared" si="44"/>
        <v>0.19119210799584632</v>
      </c>
      <c r="J132" s="136">
        <f t="shared" si="44"/>
        <v>0.18894097495171816</v>
      </c>
      <c r="K132" s="135">
        <f t="shared" si="44"/>
        <v>0.19149999999999992</v>
      </c>
      <c r="L132" s="135">
        <f t="shared" si="44"/>
        <v>0.19599999999999992</v>
      </c>
      <c r="M132" s="135">
        <f t="shared" si="44"/>
        <v>0.2004999999999999</v>
      </c>
      <c r="N132" s="135">
        <f t="shared" si="44"/>
        <v>0.20499999999999993</v>
      </c>
      <c r="O132" s="135">
        <f t="shared" si="44"/>
        <v>0.20949999999999996</v>
      </c>
    </row>
    <row r="133" spans="1:24" s="4" customFormat="1" ht="12.95" customHeight="1" x14ac:dyDescent="0.2">
      <c r="B133" s="4" t="s">
        <v>32</v>
      </c>
      <c r="H133" s="33"/>
      <c r="I133" s="135">
        <f t="shared" ref="I133:O133" si="45">+I123/H123-1</f>
        <v>6.1198847262248002E-2</v>
      </c>
      <c r="J133" s="136">
        <f t="shared" si="45"/>
        <v>5.7401612009689185E-2</v>
      </c>
      <c r="K133" s="135">
        <f t="shared" si="45"/>
        <v>8.4492128043486492E-2</v>
      </c>
      <c r="L133" s="135">
        <f t="shared" si="45"/>
        <v>9.5143603133159393E-2</v>
      </c>
      <c r="M133" s="135">
        <f t="shared" si="45"/>
        <v>9.4566326530612255E-2</v>
      </c>
      <c r="N133" s="135">
        <f t="shared" si="45"/>
        <v>9.4014962593516493E-2</v>
      </c>
      <c r="O133" s="135">
        <f t="shared" si="45"/>
        <v>9.3487804878048975E-2</v>
      </c>
    </row>
    <row r="134" spans="1:24" s="4" customFormat="1" ht="12.95" customHeight="1" x14ac:dyDescent="0.2">
      <c r="B134" s="4" t="s">
        <v>31</v>
      </c>
      <c r="H134" s="193">
        <f>-H115/H114</f>
        <v>0.35</v>
      </c>
      <c r="I134" s="193">
        <f>-I115/I114</f>
        <v>0.26</v>
      </c>
      <c r="J134" s="194">
        <f>-J115/J114</f>
        <v>0.26</v>
      </c>
      <c r="K134" s="134">
        <v>0.26</v>
      </c>
      <c r="L134" s="134">
        <v>0.26</v>
      </c>
      <c r="M134" s="134">
        <v>0.26</v>
      </c>
      <c r="N134" s="134">
        <v>0.26</v>
      </c>
      <c r="O134" s="134">
        <v>0.26</v>
      </c>
    </row>
    <row r="135" spans="1:24" s="4" customFormat="1" ht="12.95" customHeight="1" x14ac:dyDescent="0.2">
      <c r="B135" s="4" t="s">
        <v>117</v>
      </c>
      <c r="H135" s="193">
        <f>+H126/H107</f>
        <v>0.04</v>
      </c>
      <c r="I135" s="193">
        <f>+I126/I107</f>
        <v>4.0500000000000001E-2</v>
      </c>
      <c r="J135" s="194">
        <f>+J126/J107</f>
        <v>4.1000000000000002E-2</v>
      </c>
      <c r="K135" s="134">
        <f>+J135+0.0005</f>
        <v>4.1500000000000002E-2</v>
      </c>
      <c r="L135" s="134">
        <f>+K135+0.0005</f>
        <v>4.2000000000000003E-2</v>
      </c>
      <c r="M135" s="134">
        <f>+L135+0.0005</f>
        <v>4.2500000000000003E-2</v>
      </c>
      <c r="N135" s="134">
        <f>+M135+0.0005</f>
        <v>4.3000000000000003E-2</v>
      </c>
      <c r="O135" s="134">
        <f>+N135+0.0005</f>
        <v>4.3500000000000004E-2</v>
      </c>
    </row>
    <row r="136" spans="1:24" s="4" customFormat="1" ht="12.95" customHeight="1" x14ac:dyDescent="0.2">
      <c r="B136" s="3" t="s">
        <v>115</v>
      </c>
      <c r="C136" s="3"/>
      <c r="D136" s="3"/>
      <c r="E136" s="3"/>
      <c r="F136" s="3"/>
      <c r="G136" s="3"/>
      <c r="H136" s="229">
        <f>+H120/H107</f>
        <v>3.5000000000000003E-2</v>
      </c>
      <c r="I136" s="229">
        <f>+I120/I107</f>
        <v>3.6000000000000004E-2</v>
      </c>
      <c r="J136" s="230">
        <f>+J120/J107</f>
        <v>3.7000000000000005E-2</v>
      </c>
      <c r="K136" s="137">
        <f>+J136+0.001</f>
        <v>3.8000000000000006E-2</v>
      </c>
      <c r="L136" s="137">
        <f>+K136+0.001</f>
        <v>3.9000000000000007E-2</v>
      </c>
      <c r="M136" s="137">
        <f>+L136+0.001</f>
        <v>4.0000000000000008E-2</v>
      </c>
      <c r="N136" s="137">
        <f>+M136+0.001</f>
        <v>4.1000000000000009E-2</v>
      </c>
      <c r="O136" s="137">
        <f>+N136+0.001</f>
        <v>4.200000000000001E-2</v>
      </c>
    </row>
    <row r="137" spans="1:24" ht="12.95" customHeight="1" x14ac:dyDescent="0.2">
      <c r="B137" s="3"/>
      <c r="C137" s="3"/>
      <c r="D137" s="3"/>
      <c r="E137" s="3"/>
      <c r="F137" s="3"/>
      <c r="G137" s="3"/>
      <c r="H137" s="3"/>
      <c r="I137" s="3"/>
      <c r="J137" s="3"/>
      <c r="K137" s="3"/>
      <c r="L137" s="3"/>
      <c r="M137" s="3"/>
      <c r="N137" s="3"/>
      <c r="O137" s="3"/>
    </row>
    <row r="138" spans="1:24" ht="12.95" customHeight="1" x14ac:dyDescent="0.2">
      <c r="A138" s="1" t="s">
        <v>39</v>
      </c>
      <c r="B138" s="50" t="s">
        <v>104</v>
      </c>
      <c r="C138" s="51"/>
      <c r="D138" s="51"/>
      <c r="E138" s="51"/>
      <c r="F138" s="51"/>
      <c r="G138" s="51"/>
      <c r="H138" s="51"/>
      <c r="I138" s="51"/>
      <c r="J138" s="51"/>
      <c r="K138" s="51"/>
      <c r="L138" s="51"/>
      <c r="M138" s="51"/>
      <c r="N138" s="51"/>
      <c r="O138" s="73"/>
    </row>
    <row r="139" spans="1:24" ht="12.95" customHeight="1" x14ac:dyDescent="0.2">
      <c r="H139" s="138"/>
      <c r="I139" s="138"/>
    </row>
    <row r="140" spans="1:24" s="4" customFormat="1" ht="15" x14ac:dyDescent="0.35">
      <c r="E140" s="10" t="str">
        <f>+$K$34</f>
        <v>Fiscal Year Ended 12/31</v>
      </c>
      <c r="F140" s="11"/>
      <c r="G140" s="11"/>
      <c r="H140" s="139" t="s">
        <v>157</v>
      </c>
      <c r="I140" s="140"/>
      <c r="K140" s="10" t="str">
        <f>+$K$34</f>
        <v>Fiscal Year Ended 12/31</v>
      </c>
      <c r="L140" s="11"/>
      <c r="M140" s="11"/>
      <c r="N140" s="11"/>
      <c r="O140" s="11"/>
    </row>
    <row r="141" spans="1:24" s="4" customFormat="1" ht="12.95" customHeight="1" x14ac:dyDescent="0.2">
      <c r="E141" s="74">
        <f>+$H$106</f>
        <v>2017</v>
      </c>
      <c r="F141" s="74">
        <f>+$I$106</f>
        <v>2018</v>
      </c>
      <c r="G141" s="141">
        <f>+$J$106</f>
        <v>2019</v>
      </c>
      <c r="H141" s="142" t="s">
        <v>124</v>
      </c>
      <c r="I141" s="29" t="s">
        <v>125</v>
      </c>
      <c r="J141" s="143" t="s">
        <v>126</v>
      </c>
      <c r="K141" s="13">
        <f>+$K$106</f>
        <v>2020</v>
      </c>
      <c r="L141" s="13">
        <f>+$L$106</f>
        <v>2021</v>
      </c>
      <c r="M141" s="13">
        <f>+$M$106</f>
        <v>2022</v>
      </c>
      <c r="N141" s="13">
        <f>+$N$106</f>
        <v>2023</v>
      </c>
      <c r="O141" s="13">
        <f>+$O$106</f>
        <v>2024</v>
      </c>
    </row>
    <row r="142" spans="1:24" s="4" customFormat="1" ht="12.95" customHeight="1" x14ac:dyDescent="0.2">
      <c r="B142" s="4" t="s">
        <v>40</v>
      </c>
      <c r="E142" s="46">
        <v>0</v>
      </c>
      <c r="F142" s="46">
        <v>0</v>
      </c>
      <c r="G142" s="286">
        <v>100</v>
      </c>
      <c r="H142" s="145"/>
      <c r="I142" s="293">
        <f>-G142</f>
        <v>-100</v>
      </c>
      <c r="J142" s="146">
        <f>+SUM(G142:I142)</f>
        <v>0</v>
      </c>
      <c r="K142" s="221">
        <f ca="1">+J142+K223</f>
        <v>5</v>
      </c>
      <c r="L142" s="221">
        <f ca="1">+K142+L223</f>
        <v>5</v>
      </c>
      <c r="M142" s="221">
        <f ca="1">+L142+M223</f>
        <v>5</v>
      </c>
      <c r="N142" s="221">
        <f ca="1">+M142+N223</f>
        <v>5</v>
      </c>
      <c r="O142" s="221">
        <f ca="1">+N142+O223</f>
        <v>5</v>
      </c>
      <c r="Q142" s="174"/>
      <c r="R142" s="174"/>
      <c r="S142" s="174"/>
      <c r="T142" s="174"/>
      <c r="U142" s="174"/>
      <c r="V142" s="174"/>
      <c r="W142" s="174"/>
      <c r="X142" s="174"/>
    </row>
    <row r="143" spans="1:24" s="4" customFormat="1" ht="12.95" customHeight="1" x14ac:dyDescent="0.2">
      <c r="B143" s="4" t="s">
        <v>41</v>
      </c>
      <c r="E143" s="120">
        <v>77.671232876712338</v>
      </c>
      <c r="F143" s="120">
        <v>81.789041095890411</v>
      </c>
      <c r="G143" s="120">
        <v>86.10275342465755</v>
      </c>
      <c r="H143" s="112"/>
      <c r="J143" s="147">
        <f>+SUM(G143:I143)</f>
        <v>86.10275342465755</v>
      </c>
      <c r="K143" s="62">
        <f>+(K179/365)*K174</f>
        <v>90.619619178082189</v>
      </c>
      <c r="L143" s="62">
        <f>+(L179/365)*L174</f>
        <v>96.962992520547942</v>
      </c>
      <c r="M143" s="62">
        <f>+(M179/365)*M174</f>
        <v>103.75040199698631</v>
      </c>
      <c r="N143" s="62">
        <f>+(N179/365)*N174</f>
        <v>111.01293013677537</v>
      </c>
      <c r="O143" s="62">
        <f>+(O179/365)*O174</f>
        <v>118.78383524634965</v>
      </c>
      <c r="Q143" s="174"/>
      <c r="R143" s="174"/>
      <c r="S143" s="174"/>
      <c r="T143" s="174"/>
      <c r="U143" s="174"/>
      <c r="V143" s="174"/>
      <c r="W143" s="174"/>
      <c r="X143" s="174"/>
    </row>
    <row r="144" spans="1:24" s="4" customFormat="1" ht="12.95" customHeight="1" x14ac:dyDescent="0.2">
      <c r="B144" s="4" t="s">
        <v>42</v>
      </c>
      <c r="E144" s="148">
        <v>51.557788944723619</v>
      </c>
      <c r="F144" s="148">
        <v>55.348181818181828</v>
      </c>
      <c r="G144" s="148">
        <v>59.418566497461953</v>
      </c>
      <c r="H144" s="112"/>
      <c r="J144" s="149">
        <f>+SUM(G144:I144)</f>
        <v>59.418566497461953</v>
      </c>
      <c r="K144" s="35">
        <f>+K175/K180</f>
        <v>63.677235122449005</v>
      </c>
      <c r="L144" s="35">
        <f>+L175/L180</f>
        <v>67.893883130204117</v>
      </c>
      <c r="M144" s="35">
        <f>+M175/M180</f>
        <v>72.388843406944943</v>
      </c>
      <c r="N144" s="35">
        <f>+N175/N180</f>
        <v>77.180418095091483</v>
      </c>
      <c r="O144" s="35">
        <f>+O175/O180</f>
        <v>82.288107906884505</v>
      </c>
      <c r="Q144" s="174"/>
      <c r="R144" s="174"/>
      <c r="S144" s="174"/>
      <c r="T144" s="174"/>
      <c r="U144" s="174"/>
      <c r="V144" s="174"/>
      <c r="W144" s="174"/>
      <c r="X144" s="174"/>
    </row>
    <row r="145" spans="2:24" s="4" customFormat="1" ht="12.95" customHeight="1" x14ac:dyDescent="0.2">
      <c r="B145" s="3" t="s">
        <v>43</v>
      </c>
      <c r="C145" s="3"/>
      <c r="D145" s="3"/>
      <c r="E145" s="151">
        <v>26.099999999999998</v>
      </c>
      <c r="F145" s="151">
        <v>26.963999999999999</v>
      </c>
      <c r="G145" s="151">
        <v>27.821069999999999</v>
      </c>
      <c r="H145" s="115"/>
      <c r="I145" s="3"/>
      <c r="J145" s="152">
        <f>+SUM(G145:I145)</f>
        <v>27.821069999999999</v>
      </c>
      <c r="K145" s="66">
        <f>+K181*K174</f>
        <v>28.666006199999998</v>
      </c>
      <c r="L145" s="66">
        <f>+L181*L174</f>
        <v>30.672626633999997</v>
      </c>
      <c r="M145" s="66">
        <f>+M181*M174</f>
        <v>32.819710498380005</v>
      </c>
      <c r="N145" s="66">
        <f>+N181*N174</f>
        <v>35.117090233266602</v>
      </c>
      <c r="O145" s="66">
        <f>+O181*O174</f>
        <v>37.575286549595269</v>
      </c>
      <c r="Q145" s="174"/>
      <c r="R145" s="174"/>
      <c r="S145" s="174"/>
      <c r="T145" s="174"/>
      <c r="U145" s="174"/>
      <c r="V145" s="174"/>
      <c r="W145" s="174"/>
      <c r="X145" s="174"/>
    </row>
    <row r="146" spans="2:24" s="69" customFormat="1" ht="12.95" customHeight="1" x14ac:dyDescent="0.2">
      <c r="B146" s="69" t="s">
        <v>62</v>
      </c>
      <c r="E146" s="154">
        <f>+SUM(E142:E145)</f>
        <v>155.32902182143596</v>
      </c>
      <c r="F146" s="154">
        <f>+SUM(F142:F145)</f>
        <v>164.10122291407225</v>
      </c>
      <c r="G146" s="155">
        <f>+SUM(G142:G145)</f>
        <v>273.34238992211954</v>
      </c>
      <c r="H146" s="156"/>
      <c r="J146" s="157">
        <f t="shared" ref="J146:O146" si="46">+SUM(J142:J145)</f>
        <v>173.34238992211951</v>
      </c>
      <c r="K146" s="238">
        <f t="shared" ca="1" si="46"/>
        <v>187.96286050053121</v>
      </c>
      <c r="L146" s="238">
        <f t="shared" ca="1" si="46"/>
        <v>200.52950228475203</v>
      </c>
      <c r="M146" s="238">
        <f t="shared" ca="1" si="46"/>
        <v>213.95895590231126</v>
      </c>
      <c r="N146" s="238">
        <f t="shared" ca="1" si="46"/>
        <v>228.31043846513344</v>
      </c>
      <c r="O146" s="238">
        <f t="shared" ca="1" si="46"/>
        <v>243.64722970282941</v>
      </c>
      <c r="Q146" s="174"/>
      <c r="R146" s="174"/>
      <c r="S146" s="174"/>
      <c r="T146" s="174"/>
      <c r="U146" s="174"/>
      <c r="V146" s="174"/>
      <c r="W146" s="174"/>
      <c r="X146" s="174"/>
    </row>
    <row r="147" spans="2:24" s="4" customFormat="1" ht="12.95" customHeight="1" x14ac:dyDescent="0.2">
      <c r="G147" s="131"/>
      <c r="H147" s="112"/>
      <c r="J147" s="107"/>
      <c r="K147" s="239"/>
      <c r="L147" s="239"/>
      <c r="M147" s="239"/>
      <c r="N147" s="239"/>
      <c r="O147" s="239"/>
      <c r="Q147" s="174"/>
      <c r="R147" s="174"/>
      <c r="S147" s="174"/>
      <c r="T147" s="174"/>
      <c r="U147" s="174"/>
      <c r="V147" s="174"/>
      <c r="W147" s="174"/>
      <c r="X147" s="174"/>
    </row>
    <row r="148" spans="2:24" s="4" customFormat="1" ht="12.95" customHeight="1" x14ac:dyDescent="0.2">
      <c r="B148" s="4" t="s">
        <v>44</v>
      </c>
      <c r="E148" s="148">
        <v>144.5</v>
      </c>
      <c r="F148" s="148">
        <v>148.83349999999999</v>
      </c>
      <c r="G148" s="158">
        <v>152.95513999999997</v>
      </c>
      <c r="J148" s="149">
        <f>+SUM(G148:I148)</f>
        <v>152.95513999999997</v>
      </c>
      <c r="K148" s="35">
        <f>+J148+K126-K120</f>
        <v>156.81402544999995</v>
      </c>
      <c r="L148" s="35">
        <f>+K148+L126-L120</f>
        <v>160.35317467699994</v>
      </c>
      <c r="M148" s="35">
        <f>+L148+M126-M120</f>
        <v>163.50891607107494</v>
      </c>
      <c r="N148" s="35">
        <f>+M148+N126-N120</f>
        <v>166.21023070440313</v>
      </c>
      <c r="O148" s="35">
        <f>+N148+O126-O120</f>
        <v>168.37803569764901</v>
      </c>
      <c r="Q148" s="174"/>
      <c r="R148" s="174"/>
      <c r="S148" s="174"/>
      <c r="T148" s="174"/>
      <c r="U148" s="174"/>
      <c r="V148" s="174"/>
      <c r="W148" s="174"/>
      <c r="X148" s="174"/>
    </row>
    <row r="149" spans="2:24" s="4" customFormat="1" ht="12.95" customHeight="1" x14ac:dyDescent="0.2">
      <c r="B149" s="4" t="s">
        <v>45</v>
      </c>
      <c r="E149" s="159">
        <v>0</v>
      </c>
      <c r="F149" s="159">
        <v>0</v>
      </c>
      <c r="G149" s="160">
        <v>0</v>
      </c>
      <c r="H149" s="35">
        <f>+E31</f>
        <v>1733.7491221737703</v>
      </c>
      <c r="J149" s="149">
        <f>+SUM(G149:I149)</f>
        <v>1733.7491221737703</v>
      </c>
      <c r="K149" s="35">
        <f>+J149</f>
        <v>1733.7491221737703</v>
      </c>
      <c r="L149" s="35">
        <f>+K149</f>
        <v>1733.7491221737703</v>
      </c>
      <c r="M149" s="35">
        <f>+L149</f>
        <v>1733.7491221737703</v>
      </c>
      <c r="N149" s="35">
        <f>+M149</f>
        <v>1733.7491221737703</v>
      </c>
      <c r="O149" s="35">
        <f>+N149</f>
        <v>1733.7491221737703</v>
      </c>
      <c r="Q149" s="174"/>
      <c r="R149" s="174"/>
      <c r="S149" s="174"/>
      <c r="T149" s="174"/>
      <c r="U149" s="174"/>
      <c r="V149" s="174"/>
      <c r="W149" s="174"/>
      <c r="X149" s="174"/>
    </row>
    <row r="150" spans="2:24" s="4" customFormat="1" ht="12.95" customHeight="1" x14ac:dyDescent="0.2">
      <c r="B150" s="4" t="s">
        <v>145</v>
      </c>
      <c r="E150" s="159">
        <v>0</v>
      </c>
      <c r="F150" s="159">
        <v>0</v>
      </c>
      <c r="G150" s="160">
        <v>0</v>
      </c>
      <c r="H150" s="35">
        <f>+M52</f>
        <v>23.41553369999999</v>
      </c>
      <c r="J150" s="149">
        <f>+SUM(G150:I150)</f>
        <v>23.41553369999999</v>
      </c>
      <c r="K150" s="35">
        <f>+K41</f>
        <v>19.928359361428566</v>
      </c>
      <c r="L150" s="35">
        <f>+L41</f>
        <v>16.441185022857137</v>
      </c>
      <c r="M150" s="35">
        <f>+M41</f>
        <v>12.954010684285711</v>
      </c>
      <c r="N150" s="35">
        <f>+N41</f>
        <v>9.4668363457142846</v>
      </c>
      <c r="O150" s="35">
        <f>+O41</f>
        <v>5.9796620071428563</v>
      </c>
      <c r="Q150" s="174"/>
      <c r="R150" s="174"/>
      <c r="S150" s="174"/>
      <c r="T150" s="174"/>
      <c r="U150" s="174"/>
      <c r="V150" s="174"/>
      <c r="W150" s="174"/>
      <c r="X150" s="174"/>
    </row>
    <row r="151" spans="2:24" s="4" customFormat="1" ht="12.95" customHeight="1" x14ac:dyDescent="0.2">
      <c r="B151" s="4" t="s">
        <v>56</v>
      </c>
      <c r="E151" s="148">
        <v>22.5</v>
      </c>
      <c r="F151" s="148">
        <v>28.89</v>
      </c>
      <c r="G151" s="158">
        <v>36.064350000000005</v>
      </c>
      <c r="J151" s="149">
        <f>+SUM(G151:I151)</f>
        <v>36.064350000000005</v>
      </c>
      <c r="K151" s="35">
        <f>+K182*K174</f>
        <v>44.101548000000001</v>
      </c>
      <c r="L151" s="35">
        <f>+L182*L174</f>
        <v>47.188656360000003</v>
      </c>
      <c r="M151" s="35">
        <f>+M182*M174</f>
        <v>50.491862305200016</v>
      </c>
      <c r="N151" s="35">
        <f>+N182*N174</f>
        <v>54.026292666564018</v>
      </c>
      <c r="O151" s="35">
        <f>+O182*O174</f>
        <v>57.808133153223501</v>
      </c>
      <c r="Q151" s="174"/>
      <c r="R151" s="174"/>
      <c r="S151" s="174"/>
      <c r="T151" s="174"/>
      <c r="U151" s="174"/>
      <c r="V151" s="174"/>
      <c r="W151" s="174"/>
      <c r="X151" s="174"/>
    </row>
    <row r="152" spans="2:24" s="4" customFormat="1" ht="12.95" customHeight="1" x14ac:dyDescent="0.2">
      <c r="B152" s="20" t="s">
        <v>46</v>
      </c>
      <c r="C152" s="21"/>
      <c r="D152" s="21"/>
      <c r="E152" s="161">
        <f>+SUM(E146:E151)</f>
        <v>322.32902182143596</v>
      </c>
      <c r="F152" s="161">
        <f>+SUM(F146:F151)</f>
        <v>341.82472291407225</v>
      </c>
      <c r="G152" s="162">
        <f>+SUM(G146:G151)</f>
        <v>462.3618799221195</v>
      </c>
      <c r="H152" s="17"/>
      <c r="I152" s="18"/>
      <c r="J152" s="163">
        <f t="shared" ref="J152:O152" si="47">+SUM(J146:J151)</f>
        <v>2119.5265357958901</v>
      </c>
      <c r="K152" s="240">
        <f t="shared" ca="1" si="47"/>
        <v>2142.5559154857301</v>
      </c>
      <c r="L152" s="240">
        <f t="shared" ca="1" si="47"/>
        <v>2158.2616405183794</v>
      </c>
      <c r="M152" s="240">
        <f t="shared" ca="1" si="47"/>
        <v>2174.662867136642</v>
      </c>
      <c r="N152" s="240">
        <f t="shared" ca="1" si="47"/>
        <v>2191.7629203555853</v>
      </c>
      <c r="O152" s="241">
        <f t="shared" ca="1" si="47"/>
        <v>2209.5621827346149</v>
      </c>
      <c r="Q152" s="174"/>
      <c r="R152" s="174"/>
      <c r="S152" s="174"/>
      <c r="T152" s="174"/>
      <c r="U152" s="174"/>
      <c r="V152" s="174"/>
      <c r="W152" s="174"/>
      <c r="X152" s="174"/>
    </row>
    <row r="153" spans="2:24" s="4" customFormat="1" ht="12.95" customHeight="1" x14ac:dyDescent="0.2">
      <c r="G153" s="131"/>
      <c r="H153" s="112"/>
      <c r="J153" s="107"/>
      <c r="Q153" s="174"/>
      <c r="R153" s="174"/>
      <c r="S153" s="174"/>
      <c r="T153" s="174"/>
      <c r="U153" s="174"/>
      <c r="V153" s="174"/>
      <c r="W153" s="174"/>
      <c r="X153" s="174"/>
    </row>
    <row r="154" spans="2:24" s="4" customFormat="1" ht="12.95" customHeight="1" x14ac:dyDescent="0.2">
      <c r="B154" s="4" t="s">
        <v>47</v>
      </c>
      <c r="E154" s="148">
        <v>36.893835616438352</v>
      </c>
      <c r="F154" s="148">
        <v>41.283678082191777</v>
      </c>
      <c r="G154" s="158">
        <v>46.100261095890417</v>
      </c>
      <c r="J154" s="149">
        <f>+SUM(G154:I154)</f>
        <v>46.100261095890417</v>
      </c>
      <c r="K154" s="35">
        <f>+(K184/365)*K175</f>
        <v>51.290704454794529</v>
      </c>
      <c r="L154" s="35">
        <f>+(L184/365)*L175</f>
        <v>54.687127781589048</v>
      </c>
      <c r="M154" s="35">
        <f>+(M184/365)*M175</f>
        <v>58.307725922306318</v>
      </c>
      <c r="N154" s="35">
        <f>+(N184/365)*N175</f>
        <v>62.167240876594207</v>
      </c>
      <c r="O154" s="35">
        <f>+(O184/365)*O175</f>
        <v>66.281380067463104</v>
      </c>
      <c r="Q154" s="174"/>
      <c r="R154" s="174"/>
      <c r="S154" s="174"/>
      <c r="T154" s="174"/>
      <c r="U154" s="174"/>
      <c r="V154" s="174"/>
      <c r="W154" s="174"/>
      <c r="X154" s="174"/>
    </row>
    <row r="155" spans="2:24" s="4" customFormat="1" ht="12.95" customHeight="1" x14ac:dyDescent="0.2">
      <c r="B155" s="4" t="s">
        <v>48</v>
      </c>
      <c r="E155" s="148">
        <v>39.78</v>
      </c>
      <c r="F155" s="148">
        <v>44.201700000000002</v>
      </c>
      <c r="G155" s="158">
        <v>49.047516000000016</v>
      </c>
      <c r="J155" s="149">
        <f>+SUM(G155:I155)</f>
        <v>49.047516000000016</v>
      </c>
      <c r="K155" s="35">
        <f>+SUM(K175:K176)*K185</f>
        <v>54.131342553900019</v>
      </c>
      <c r="L155" s="35">
        <f>+SUM(L175:L176)*L185</f>
        <v>57.681054101646026</v>
      </c>
      <c r="M155" s="35">
        <f>+SUM(M175:M176)*M185</f>
        <v>61.462481687562359</v>
      </c>
      <c r="N155" s="35">
        <f>+SUM(N175:N176)*N185</f>
        <v>65.490671970408911</v>
      </c>
      <c r="O155" s="35">
        <f>+SUM(O175:O176)*O185</f>
        <v>69.781642732584942</v>
      </c>
      <c r="Q155" s="174"/>
      <c r="R155" s="174"/>
      <c r="S155" s="174"/>
      <c r="T155" s="174"/>
      <c r="U155" s="174"/>
      <c r="V155" s="174"/>
      <c r="W155" s="174"/>
      <c r="X155" s="174"/>
    </row>
    <row r="156" spans="2:24" s="4" customFormat="1" ht="12.95" customHeight="1" x14ac:dyDescent="0.2">
      <c r="B156" s="3" t="s">
        <v>49</v>
      </c>
      <c r="C156" s="3"/>
      <c r="D156" s="3"/>
      <c r="E156" s="151">
        <v>24.75</v>
      </c>
      <c r="F156" s="151">
        <v>33.705000000000005</v>
      </c>
      <c r="G156" s="158">
        <v>43.792425000000009</v>
      </c>
      <c r="H156" s="3"/>
      <c r="I156" s="3"/>
      <c r="J156" s="152">
        <f>+SUM(G156:I156)</f>
        <v>43.792425000000009</v>
      </c>
      <c r="K156" s="66">
        <f>+K174*K186</f>
        <v>55.126935000000003</v>
      </c>
      <c r="L156" s="66">
        <f>+L174*L186</f>
        <v>58.985820450000006</v>
      </c>
      <c r="M156" s="66">
        <f>+M174*M186</f>
        <v>63.11482788150002</v>
      </c>
      <c r="N156" s="66">
        <f>+N174*N186</f>
        <v>67.532865833205022</v>
      </c>
      <c r="O156" s="66">
        <f>+O174*O186</f>
        <v>72.260166441529378</v>
      </c>
      <c r="Q156" s="174"/>
      <c r="R156" s="174"/>
      <c r="S156" s="174"/>
      <c r="T156" s="174"/>
      <c r="U156" s="174"/>
      <c r="V156" s="174"/>
      <c r="W156" s="174"/>
      <c r="X156" s="174"/>
    </row>
    <row r="157" spans="2:24" s="4" customFormat="1" ht="12.95" customHeight="1" x14ac:dyDescent="0.2">
      <c r="B157" s="69" t="s">
        <v>61</v>
      </c>
      <c r="C157" s="69"/>
      <c r="D157" s="69"/>
      <c r="E157" s="154">
        <f>SUM(E154:E156)</f>
        <v>101.42383561643835</v>
      </c>
      <c r="F157" s="154">
        <f>SUM(F154:F156)</f>
        <v>119.19037808219178</v>
      </c>
      <c r="G157" s="164">
        <f>SUM(G154:G156)</f>
        <v>138.94020209589044</v>
      </c>
      <c r="H157" s="112"/>
      <c r="J157" s="157">
        <f t="shared" ref="J157:O157" si="48">SUM(J154:J156)</f>
        <v>138.94020209589044</v>
      </c>
      <c r="K157" s="242">
        <f t="shared" si="48"/>
        <v>160.54898200869457</v>
      </c>
      <c r="L157" s="238">
        <f t="shared" si="48"/>
        <v>171.35400233323509</v>
      </c>
      <c r="M157" s="238">
        <f t="shared" si="48"/>
        <v>182.88503549136868</v>
      </c>
      <c r="N157" s="238">
        <f t="shared" si="48"/>
        <v>195.19077868020815</v>
      </c>
      <c r="O157" s="238">
        <f t="shared" si="48"/>
        <v>208.32318924157741</v>
      </c>
      <c r="Q157" s="174"/>
      <c r="R157" s="174"/>
      <c r="S157" s="174"/>
      <c r="T157" s="174"/>
      <c r="U157" s="174"/>
      <c r="V157" s="174"/>
      <c r="W157" s="174"/>
      <c r="X157" s="174"/>
    </row>
    <row r="158" spans="2:24" s="4" customFormat="1" ht="12.95" customHeight="1" x14ac:dyDescent="0.2">
      <c r="G158" s="131"/>
      <c r="H158" s="112"/>
      <c r="J158" s="107"/>
      <c r="Q158" s="174"/>
      <c r="R158" s="174"/>
      <c r="S158" s="174"/>
      <c r="T158" s="174"/>
      <c r="U158" s="174"/>
      <c r="V158" s="174"/>
      <c r="W158" s="174"/>
      <c r="X158" s="174"/>
    </row>
    <row r="159" spans="2:24" s="4" customFormat="1" ht="12.95" customHeight="1" x14ac:dyDescent="0.2">
      <c r="B159" s="4" t="s">
        <v>57</v>
      </c>
      <c r="E159" s="148">
        <v>9</v>
      </c>
      <c r="F159" s="148">
        <v>9.6300000000000008</v>
      </c>
      <c r="G159" s="158">
        <v>10.304100000000002</v>
      </c>
      <c r="J159" s="149">
        <f>+SUM(G159:I159)</f>
        <v>10.304100000000002</v>
      </c>
      <c r="K159" s="35">
        <f>+K174*K187</f>
        <v>11.025387</v>
      </c>
      <c r="L159" s="35">
        <f>+L174*L187</f>
        <v>11.797164090000001</v>
      </c>
      <c r="M159" s="35">
        <f>+M174*M187</f>
        <v>12.622965576300004</v>
      </c>
      <c r="N159" s="35">
        <f>+N174*N187</f>
        <v>13.506573166641004</v>
      </c>
      <c r="O159" s="35">
        <f>+O174*O187</f>
        <v>14.452033288305875</v>
      </c>
      <c r="Q159" s="174"/>
      <c r="R159" s="174"/>
      <c r="S159" s="174"/>
      <c r="T159" s="174"/>
      <c r="U159" s="174"/>
      <c r="V159" s="174"/>
      <c r="W159" s="174"/>
      <c r="X159" s="174"/>
    </row>
    <row r="160" spans="2:24" s="4" customFormat="1" ht="12.95" customHeight="1" x14ac:dyDescent="0.2">
      <c r="E160" s="52"/>
      <c r="F160" s="52"/>
      <c r="G160" s="165"/>
      <c r="H160" s="112"/>
      <c r="J160" s="166"/>
      <c r="Q160" s="174"/>
      <c r="R160" s="174"/>
      <c r="S160" s="174"/>
      <c r="T160" s="174"/>
      <c r="U160" s="174"/>
      <c r="V160" s="174"/>
      <c r="W160" s="174"/>
      <c r="X160" s="174"/>
    </row>
    <row r="161" spans="2:24" s="4" customFormat="1" ht="12.95" customHeight="1" x14ac:dyDescent="0.2">
      <c r="B161" s="4" t="s">
        <v>146</v>
      </c>
      <c r="E161" s="148">
        <v>0</v>
      </c>
      <c r="F161" s="148">
        <v>0</v>
      </c>
      <c r="G161" s="285">
        <v>150</v>
      </c>
      <c r="H161" s="112"/>
      <c r="I161" s="288">
        <f>-G161</f>
        <v>-150</v>
      </c>
      <c r="J161" s="149">
        <f>+SUM(G161:I161)</f>
        <v>0</v>
      </c>
      <c r="K161" s="260">
        <f>+J161</f>
        <v>0</v>
      </c>
      <c r="L161" s="260">
        <f>+K161</f>
        <v>0</v>
      </c>
      <c r="M161" s="260">
        <f>+L161</f>
        <v>0</v>
      </c>
      <c r="N161" s="260">
        <f>+M161</f>
        <v>0</v>
      </c>
      <c r="O161" s="260">
        <f>+N161</f>
        <v>0</v>
      </c>
      <c r="Q161" s="174"/>
      <c r="R161" s="174"/>
      <c r="S161" s="174"/>
      <c r="T161" s="174"/>
      <c r="U161" s="174"/>
      <c r="V161" s="174"/>
      <c r="W161" s="174"/>
      <c r="X161" s="174"/>
    </row>
    <row r="162" spans="2:24" s="4" customFormat="1" ht="12.95" customHeight="1" x14ac:dyDescent="0.2">
      <c r="B162" s="4" t="str">
        <f>+B51</f>
        <v>Revolving Credit Facility</v>
      </c>
      <c r="E162" s="148">
        <v>0</v>
      </c>
      <c r="F162" s="148">
        <v>0</v>
      </c>
      <c r="G162" s="158">
        <v>0</v>
      </c>
      <c r="H162" s="90">
        <f>+F51</f>
        <v>0</v>
      </c>
      <c r="J162" s="149">
        <f>+SUM(G162:I162)</f>
        <v>0</v>
      </c>
      <c r="K162" s="35">
        <f ca="1">+K259</f>
        <v>0</v>
      </c>
      <c r="L162" s="35">
        <f ca="1">+L259</f>
        <v>0</v>
      </c>
      <c r="M162" s="35">
        <f ca="1">+M259</f>
        <v>0</v>
      </c>
      <c r="N162" s="35">
        <f ca="1">+N259</f>
        <v>0</v>
      </c>
      <c r="O162" s="35">
        <f ca="1">+O259</f>
        <v>0</v>
      </c>
      <c r="Q162" s="174"/>
      <c r="R162" s="174"/>
      <c r="S162" s="174"/>
      <c r="T162" s="174"/>
      <c r="U162" s="174"/>
      <c r="V162" s="174"/>
      <c r="W162" s="174"/>
      <c r="X162" s="174"/>
    </row>
    <row r="163" spans="2:24" s="4" customFormat="1" ht="12.95" customHeight="1" x14ac:dyDescent="0.2">
      <c r="B163" s="4" t="str">
        <f>+B52</f>
        <v>First Lien Term Loan</v>
      </c>
      <c r="E163" s="148">
        <v>0</v>
      </c>
      <c r="F163" s="148">
        <v>0</v>
      </c>
      <c r="G163" s="158">
        <v>0</v>
      </c>
      <c r="H163" s="90">
        <f>+F52</f>
        <v>389.37333999999987</v>
      </c>
      <c r="J163" s="149">
        <f>+SUM(G163:I163)</f>
        <v>389.37333999999987</v>
      </c>
      <c r="K163" s="35">
        <f ca="1">+K273</f>
        <v>313.68842044632839</v>
      </c>
      <c r="L163" s="35">
        <f ca="1">+L273</f>
        <v>225.91463196192365</v>
      </c>
      <c r="M163" s="35">
        <f ca="1">+M273</f>
        <v>120.88850915452724</v>
      </c>
      <c r="N163" s="35">
        <f ca="1">+N273</f>
        <v>0</v>
      </c>
      <c r="O163" s="35">
        <f ca="1">+O273</f>
        <v>0</v>
      </c>
      <c r="Q163" s="174"/>
      <c r="R163" s="174"/>
      <c r="S163" s="174"/>
      <c r="T163" s="174"/>
      <c r="U163" s="174"/>
      <c r="V163" s="174"/>
      <c r="W163" s="174"/>
      <c r="X163" s="174"/>
    </row>
    <row r="164" spans="2:24" s="4" customFormat="1" ht="12.95" customHeight="1" x14ac:dyDescent="0.2">
      <c r="B164" s="4" t="str">
        <f>+B53</f>
        <v>Second Lien Term Loan</v>
      </c>
      <c r="E164" s="148">
        <v>0</v>
      </c>
      <c r="F164" s="148">
        <v>0</v>
      </c>
      <c r="G164" s="158">
        <v>0</v>
      </c>
      <c r="H164" s="90">
        <f>+F53</f>
        <v>194.68666999999994</v>
      </c>
      <c r="J164" s="149">
        <f>+SUM(G164:I164)</f>
        <v>194.68666999999994</v>
      </c>
      <c r="K164" s="35">
        <f ca="1">+K284</f>
        <v>210.91055916666659</v>
      </c>
      <c r="L164" s="35">
        <f ca="1">+L284</f>
        <v>228.48643909722213</v>
      </c>
      <c r="M164" s="35">
        <f ca="1">+M284</f>
        <v>247.5269756886573</v>
      </c>
      <c r="N164" s="35">
        <f ca="1">+N284</f>
        <v>264.78033587676589</v>
      </c>
      <c r="O164" s="35">
        <f ca="1">+O284</f>
        <v>140.09873852710791</v>
      </c>
      <c r="Q164" s="174"/>
      <c r="R164" s="174"/>
      <c r="S164" s="174"/>
      <c r="T164" s="174"/>
      <c r="U164" s="174"/>
      <c r="V164" s="174"/>
      <c r="W164" s="174"/>
      <c r="X164" s="174"/>
    </row>
    <row r="165" spans="2:24" s="4" customFormat="1" ht="12.95" customHeight="1" x14ac:dyDescent="0.2">
      <c r="B165" s="3" t="str">
        <f>+B54</f>
        <v>Notes</v>
      </c>
      <c r="C165" s="3"/>
      <c r="D165" s="3"/>
      <c r="E165" s="151">
        <v>0</v>
      </c>
      <c r="F165" s="151">
        <v>0</v>
      </c>
      <c r="G165" s="300">
        <v>0</v>
      </c>
      <c r="H165" s="169">
        <f>+F54</f>
        <v>486.71667499999984</v>
      </c>
      <c r="I165" s="3"/>
      <c r="J165" s="152">
        <f>+SUM(G165:I165)</f>
        <v>486.71667499999984</v>
      </c>
      <c r="K165" s="66">
        <f ca="1">+K294</f>
        <v>486.71667499999984</v>
      </c>
      <c r="L165" s="66">
        <f ca="1">+L294</f>
        <v>486.71667499999984</v>
      </c>
      <c r="M165" s="66">
        <f ca="1">+M294</f>
        <v>486.71667499999984</v>
      </c>
      <c r="N165" s="66">
        <f ca="1">+N294</f>
        <v>486.71667499999984</v>
      </c>
      <c r="O165" s="66">
        <f ca="1">+O294</f>
        <v>486.71667499999984</v>
      </c>
      <c r="Q165" s="174"/>
      <c r="R165" s="174"/>
      <c r="S165" s="174"/>
      <c r="T165" s="174"/>
      <c r="U165" s="174"/>
      <c r="V165" s="174"/>
      <c r="W165" s="174"/>
      <c r="X165" s="174"/>
    </row>
    <row r="166" spans="2:24" s="69" customFormat="1" ht="12.95" customHeight="1" x14ac:dyDescent="0.2">
      <c r="B166" s="69" t="s">
        <v>50</v>
      </c>
      <c r="E166" s="154">
        <f>+SUM(E161:E165)</f>
        <v>0</v>
      </c>
      <c r="F166" s="154">
        <f>+SUM(F161:F165)</f>
        <v>0</v>
      </c>
      <c r="G166" s="155">
        <f>+SUM(G161:G165)</f>
        <v>150</v>
      </c>
      <c r="H166" s="156"/>
      <c r="J166" s="157">
        <f t="shared" ref="J166:O166" si="49">+SUM(J161:J165)</f>
        <v>1070.7766849999996</v>
      </c>
      <c r="K166" s="238">
        <f t="shared" ca="1" si="49"/>
        <v>1011.3156546129949</v>
      </c>
      <c r="L166" s="238">
        <f t="shared" ca="1" si="49"/>
        <v>941.1177460591457</v>
      </c>
      <c r="M166" s="238">
        <f t="shared" ca="1" si="49"/>
        <v>855.13215984318435</v>
      </c>
      <c r="N166" s="238">
        <f t="shared" ca="1" si="49"/>
        <v>751.49701087676567</v>
      </c>
      <c r="O166" s="238">
        <f t="shared" ca="1" si="49"/>
        <v>626.81541352710769</v>
      </c>
      <c r="Q166" s="174"/>
      <c r="R166" s="174"/>
      <c r="S166" s="174"/>
      <c r="T166" s="174"/>
      <c r="U166" s="174"/>
      <c r="V166" s="174"/>
      <c r="W166" s="174"/>
      <c r="X166" s="174"/>
    </row>
    <row r="167" spans="2:24" s="4" customFormat="1" ht="12.95" customHeight="1" x14ac:dyDescent="0.2">
      <c r="G167" s="131"/>
      <c r="H167" s="112"/>
      <c r="J167" s="107"/>
      <c r="Q167" s="174"/>
      <c r="R167" s="174"/>
      <c r="S167" s="174"/>
      <c r="T167" s="174"/>
      <c r="U167" s="174"/>
      <c r="V167" s="174"/>
      <c r="W167" s="174"/>
      <c r="X167" s="174"/>
    </row>
    <row r="168" spans="2:24" s="4" customFormat="1" ht="12.95" customHeight="1" x14ac:dyDescent="0.2">
      <c r="B168" s="4" t="s">
        <v>183</v>
      </c>
      <c r="E168" s="148">
        <v>211.90518620499765</v>
      </c>
      <c r="F168" s="148">
        <v>213.00434483188047</v>
      </c>
      <c r="G168" s="158">
        <v>163.117577826229</v>
      </c>
      <c r="H168" s="35">
        <f>+F55</f>
        <v>977.38021669999966</v>
      </c>
      <c r="I168" s="35">
        <f>-G168-M53</f>
        <v>-240.99224582622895</v>
      </c>
      <c r="J168" s="149">
        <f>+SUM(G168:I168)</f>
        <v>899.50554869999974</v>
      </c>
      <c r="K168" s="35">
        <f ca="1">+J168+K116</f>
        <v>959.66589186404076</v>
      </c>
      <c r="L168" s="35">
        <f ca="1">+K168+L116</f>
        <v>1033.9927280359989</v>
      </c>
      <c r="M168" s="35">
        <f ca="1">+L168+M116</f>
        <v>1124.0227062257893</v>
      </c>
      <c r="N168" s="35">
        <f ca="1">+M168+N116</f>
        <v>1231.5685576319704</v>
      </c>
      <c r="O168" s="35">
        <f ca="1">+N168+O116</f>
        <v>1359.9715466776242</v>
      </c>
      <c r="Q168" s="174"/>
      <c r="R168" s="174"/>
      <c r="S168" s="174"/>
      <c r="T168" s="174"/>
      <c r="U168" s="174"/>
      <c r="V168" s="174"/>
      <c r="W168" s="174"/>
      <c r="X168" s="174"/>
    </row>
    <row r="169" spans="2:24" s="69" customFormat="1" ht="12.95" customHeight="1" x14ac:dyDescent="0.2">
      <c r="B169" s="20" t="s">
        <v>51</v>
      </c>
      <c r="C169" s="21"/>
      <c r="D169" s="21"/>
      <c r="E169" s="172">
        <f>+SUM(E157,E159,E166,E168)</f>
        <v>322.32902182143602</v>
      </c>
      <c r="F169" s="172">
        <f>+SUM(F157,F159,F166,F168)</f>
        <v>341.82472291407225</v>
      </c>
      <c r="G169" s="173">
        <f>+SUM(G157,G159,G166,G168)</f>
        <v>462.36187992211944</v>
      </c>
      <c r="H169" s="20"/>
      <c r="I169" s="21"/>
      <c r="J169" s="163">
        <f t="shared" ref="J169:O169" si="50">+SUM(J157,J159,J166,J168)</f>
        <v>2119.5265357958897</v>
      </c>
      <c r="K169" s="22">
        <f t="shared" ca="1" si="50"/>
        <v>2142.5559154857301</v>
      </c>
      <c r="L169" s="22">
        <f t="shared" ca="1" si="50"/>
        <v>2158.2616405183799</v>
      </c>
      <c r="M169" s="22">
        <f t="shared" ca="1" si="50"/>
        <v>2174.6628671366425</v>
      </c>
      <c r="N169" s="22">
        <f t="shared" ca="1" si="50"/>
        <v>2191.7629203555853</v>
      </c>
      <c r="O169" s="23">
        <f t="shared" ca="1" si="50"/>
        <v>2209.5621827346154</v>
      </c>
      <c r="Q169" s="174"/>
      <c r="R169" s="174"/>
      <c r="S169" s="174"/>
      <c r="T169" s="174"/>
      <c r="U169" s="174"/>
      <c r="V169" s="174"/>
      <c r="W169" s="174"/>
      <c r="X169" s="174"/>
    </row>
    <row r="170" spans="2:24" s="4" customFormat="1" ht="12.95" customHeight="1" x14ac:dyDescent="0.2">
      <c r="G170" s="131"/>
      <c r="H170" s="112"/>
      <c r="J170" s="107"/>
      <c r="K170" s="150"/>
      <c r="L170" s="150"/>
      <c r="M170" s="150"/>
      <c r="N170" s="150"/>
      <c r="O170" s="150"/>
    </row>
    <row r="171" spans="2:24" s="4" customFormat="1" ht="12.95" customHeight="1" outlineLevel="1" x14ac:dyDescent="0.2">
      <c r="B171" s="4" t="s">
        <v>52</v>
      </c>
      <c r="E171" s="175">
        <f>+IF(ABS(E152-E169)&gt;0.001,1,0)</f>
        <v>0</v>
      </c>
      <c r="F171" s="175">
        <f>+IF(ABS(F152-F169)&gt;0.001,1,0)</f>
        <v>0</v>
      </c>
      <c r="G171" s="176">
        <f>+IF(ABS(G152-G169)&gt;0.001,1,0)</f>
        <v>0</v>
      </c>
      <c r="H171" s="112"/>
      <c r="J171" s="177">
        <f t="shared" ref="J171:O171" si="51">+IF(ABS(J152-J169)&gt;0.001,1,0)</f>
        <v>0</v>
      </c>
      <c r="K171" s="175">
        <f t="shared" ca="1" si="51"/>
        <v>0</v>
      </c>
      <c r="L171" s="175">
        <f t="shared" ca="1" si="51"/>
        <v>0</v>
      </c>
      <c r="M171" s="175">
        <f t="shared" ca="1" si="51"/>
        <v>0</v>
      </c>
      <c r="N171" s="175">
        <f t="shared" ca="1" si="51"/>
        <v>0</v>
      </c>
      <c r="O171" s="175">
        <f t="shared" ca="1" si="51"/>
        <v>0</v>
      </c>
    </row>
    <row r="172" spans="2:24" s="4" customFormat="1" ht="12.95" customHeight="1" outlineLevel="1" x14ac:dyDescent="0.2">
      <c r="G172" s="131"/>
      <c r="H172" s="112"/>
      <c r="J172" s="178"/>
    </row>
    <row r="173" spans="2:24" s="4" customFormat="1" ht="12.95" customHeight="1" outlineLevel="1" x14ac:dyDescent="0.2">
      <c r="B173" s="2" t="s">
        <v>58</v>
      </c>
      <c r="C173" s="3"/>
      <c r="D173" s="3"/>
      <c r="E173" s="3"/>
      <c r="F173" s="3"/>
      <c r="G173" s="133"/>
      <c r="H173" s="112"/>
      <c r="J173" s="179"/>
      <c r="K173" s="3"/>
      <c r="L173" s="3"/>
      <c r="M173" s="3"/>
      <c r="N173" s="3"/>
      <c r="O173" s="3"/>
    </row>
    <row r="174" spans="2:24" s="4" customFormat="1" ht="12.95" customHeight="1" outlineLevel="1" x14ac:dyDescent="0.2">
      <c r="B174" s="4" t="str">
        <f>+B107</f>
        <v>Revenue</v>
      </c>
      <c r="E174" s="35">
        <f>+H107</f>
        <v>900</v>
      </c>
      <c r="F174" s="35">
        <f>+I107</f>
        <v>963</v>
      </c>
      <c r="G174" s="236">
        <f>+J107</f>
        <v>1030.4100000000001</v>
      </c>
      <c r="H174" s="145"/>
      <c r="I174" s="181"/>
      <c r="J174" s="180"/>
      <c r="K174" s="35">
        <f>+K107</f>
        <v>1102.5387000000001</v>
      </c>
      <c r="L174" s="35">
        <f>+L107</f>
        <v>1179.7164090000001</v>
      </c>
      <c r="M174" s="35">
        <f>+M107</f>
        <v>1262.2965576300003</v>
      </c>
      <c r="N174" s="35">
        <f>+N107</f>
        <v>1350.6573166641003</v>
      </c>
      <c r="O174" s="35">
        <f>+O107</f>
        <v>1445.2033288305875</v>
      </c>
    </row>
    <row r="175" spans="2:24" s="4" customFormat="1" ht="12.95" customHeight="1" outlineLevel="1" x14ac:dyDescent="0.2">
      <c r="B175" s="4" t="str">
        <f>+B108</f>
        <v>Cost of Goods Sold (Cost of Sales)</v>
      </c>
      <c r="E175" s="35">
        <f>-H108</f>
        <v>513</v>
      </c>
      <c r="F175" s="35">
        <f>-I108</f>
        <v>547.947</v>
      </c>
      <c r="G175" s="236">
        <f>-J108</f>
        <v>585.2728800000001</v>
      </c>
      <c r="H175" s="112"/>
      <c r="I175" s="131"/>
      <c r="J175" s="180"/>
      <c r="K175" s="35">
        <f>-K108</f>
        <v>624.03690420000009</v>
      </c>
      <c r="L175" s="35">
        <f>-L108</f>
        <v>665.36005467600012</v>
      </c>
      <c r="M175" s="35">
        <f>-M108</f>
        <v>709.41066538806024</v>
      </c>
      <c r="N175" s="35">
        <f>-N108</f>
        <v>756.36809733189625</v>
      </c>
      <c r="O175" s="35">
        <f>-O108</f>
        <v>806.42345748746789</v>
      </c>
    </row>
    <row r="176" spans="2:24" s="4" customFormat="1" ht="12.95" customHeight="1" outlineLevel="1" x14ac:dyDescent="0.2">
      <c r="B176" s="3" t="str">
        <f>+B110</f>
        <v>SG&amp;A</v>
      </c>
      <c r="C176" s="3"/>
      <c r="D176" s="3"/>
      <c r="E176" s="66">
        <f>-H110</f>
        <v>252.00000000000003</v>
      </c>
      <c r="F176" s="66">
        <f>-I110</f>
        <v>270.60300000000001</v>
      </c>
      <c r="G176" s="237">
        <f>-J110</f>
        <v>290.57562000000007</v>
      </c>
      <c r="H176" s="115"/>
      <c r="I176" s="133"/>
      <c r="J176" s="182"/>
      <c r="K176" s="66">
        <f>-K110</f>
        <v>309.26210535000007</v>
      </c>
      <c r="L176" s="66">
        <f>-L110</f>
        <v>329.14087811100006</v>
      </c>
      <c r="M176" s="66">
        <f>-M110</f>
        <v>350.28729474232512</v>
      </c>
      <c r="N176" s="66">
        <f>-N110</f>
        <v>372.78141939929174</v>
      </c>
      <c r="O176" s="66">
        <f>-O110</f>
        <v>396.70831376399627</v>
      </c>
    </row>
    <row r="177" spans="1:15" s="4" customFormat="1" ht="12.95" customHeight="1" outlineLevel="1" x14ac:dyDescent="0.2">
      <c r="G177" s="131"/>
      <c r="H177" s="112"/>
      <c r="J177" s="107"/>
    </row>
    <row r="178" spans="1:15" s="69" customFormat="1" ht="12.95" customHeight="1" x14ac:dyDescent="0.2">
      <c r="B178" s="2" t="s">
        <v>121</v>
      </c>
      <c r="C178" s="2"/>
      <c r="D178" s="2"/>
      <c r="E178" s="2"/>
      <c r="F178" s="2"/>
      <c r="G178" s="183"/>
      <c r="H178" s="40"/>
      <c r="I178" s="184"/>
      <c r="J178" s="184"/>
      <c r="K178" s="2"/>
      <c r="L178" s="2"/>
      <c r="M178" s="2"/>
      <c r="N178" s="2"/>
      <c r="O178" s="2"/>
    </row>
    <row r="179" spans="1:15" s="4" customFormat="1" ht="12.95" customHeight="1" x14ac:dyDescent="0.2">
      <c r="B179" s="4" t="s">
        <v>53</v>
      </c>
      <c r="E179" s="185">
        <f>+(E143/E174)*365</f>
        <v>31.500000000000004</v>
      </c>
      <c r="F179" s="185">
        <f>+(F143/F174)*365</f>
        <v>31</v>
      </c>
      <c r="G179" s="186">
        <f>+(G143/G174)*365</f>
        <v>30.5</v>
      </c>
      <c r="H179" s="112"/>
      <c r="I179" s="131"/>
      <c r="J179" s="187"/>
      <c r="K179" s="188">
        <v>30</v>
      </c>
      <c r="L179" s="189">
        <v>30</v>
      </c>
      <c r="M179" s="189">
        <v>30</v>
      </c>
      <c r="N179" s="189">
        <v>30</v>
      </c>
      <c r="O179" s="189">
        <v>30</v>
      </c>
    </row>
    <row r="180" spans="1:15" s="4" customFormat="1" ht="12.95" customHeight="1" x14ac:dyDescent="0.2">
      <c r="B180" s="4" t="s">
        <v>54</v>
      </c>
      <c r="E180" s="190">
        <f>+E175/E144</f>
        <v>9.9499999999999993</v>
      </c>
      <c r="F180" s="190">
        <f>+F175/F144</f>
        <v>9.8999999999999986</v>
      </c>
      <c r="G180" s="191">
        <f>+G175/G144</f>
        <v>9.8499999999999979</v>
      </c>
      <c r="H180" s="112"/>
      <c r="J180" s="192"/>
      <c r="K180" s="53">
        <v>9.7999999999999972</v>
      </c>
      <c r="L180" s="53">
        <v>9.7999999999999972</v>
      </c>
      <c r="M180" s="53">
        <v>9.7999999999999972</v>
      </c>
      <c r="N180" s="53">
        <v>9.7999999999999972</v>
      </c>
      <c r="O180" s="53">
        <v>9.7999999999999972</v>
      </c>
    </row>
    <row r="181" spans="1:15" s="4" customFormat="1" ht="12.95" customHeight="1" x14ac:dyDescent="0.2">
      <c r="B181" s="4" t="s">
        <v>59</v>
      </c>
      <c r="E181" s="193">
        <f>+E145/E174</f>
        <v>2.8999999999999998E-2</v>
      </c>
      <c r="F181" s="193">
        <f>+F145/F174</f>
        <v>2.7999999999999997E-2</v>
      </c>
      <c r="G181" s="194">
        <f>+G145/G174</f>
        <v>2.6999999999999996E-2</v>
      </c>
      <c r="H181" s="112"/>
      <c r="J181" s="195"/>
      <c r="K181" s="134">
        <v>2.5999999999999995E-2</v>
      </c>
      <c r="L181" s="134">
        <v>2.5999999999999995E-2</v>
      </c>
      <c r="M181" s="134">
        <v>2.5999999999999995E-2</v>
      </c>
      <c r="N181" s="134">
        <v>2.5999999999999995E-2</v>
      </c>
      <c r="O181" s="134">
        <v>2.5999999999999995E-2</v>
      </c>
    </row>
    <row r="182" spans="1:15" s="4" customFormat="1" ht="12.95" customHeight="1" x14ac:dyDescent="0.2">
      <c r="B182" s="4" t="s">
        <v>119</v>
      </c>
      <c r="E182" s="193"/>
      <c r="F182" s="193"/>
      <c r="G182" s="194"/>
      <c r="H182" s="112"/>
      <c r="J182" s="195"/>
      <c r="K182" s="134">
        <v>0.04</v>
      </c>
      <c r="L182" s="134">
        <v>0.04</v>
      </c>
      <c r="M182" s="134">
        <v>0.04</v>
      </c>
      <c r="N182" s="134">
        <v>0.04</v>
      </c>
      <c r="O182" s="134">
        <v>0.04</v>
      </c>
    </row>
    <row r="183" spans="1:15" s="4" customFormat="1" ht="12.95" customHeight="1" x14ac:dyDescent="0.2">
      <c r="E183" s="196"/>
      <c r="F183" s="196"/>
      <c r="G183" s="197"/>
      <c r="H183" s="112"/>
      <c r="J183" s="107"/>
    </row>
    <row r="184" spans="1:15" s="4" customFormat="1" ht="12.95" customHeight="1" x14ac:dyDescent="0.2">
      <c r="B184" s="4" t="s">
        <v>55</v>
      </c>
      <c r="E184" s="185">
        <f>+(E154/E175)*365</f>
        <v>26.25</v>
      </c>
      <c r="F184" s="185">
        <f>+(F154/F175)*365</f>
        <v>27.5</v>
      </c>
      <c r="G184" s="198">
        <f>+(G154/G175)*365</f>
        <v>28.75</v>
      </c>
      <c r="H184" s="112"/>
      <c r="J184" s="199"/>
      <c r="K184" s="189">
        <v>30</v>
      </c>
      <c r="L184" s="189">
        <v>30</v>
      </c>
      <c r="M184" s="189">
        <v>30</v>
      </c>
      <c r="N184" s="189">
        <v>30</v>
      </c>
      <c r="O184" s="189">
        <v>30</v>
      </c>
    </row>
    <row r="185" spans="1:15" s="4" customFormat="1" ht="12.95" customHeight="1" x14ac:dyDescent="0.2">
      <c r="B185" s="4" t="s">
        <v>211</v>
      </c>
      <c r="E185" s="193">
        <f>+E155/SUM(E175:E176)</f>
        <v>5.2000000000000005E-2</v>
      </c>
      <c r="F185" s="193">
        <f>+F155/SUM(F175:F176)</f>
        <v>5.4000000000000006E-2</v>
      </c>
      <c r="G185" s="194">
        <f>+G155/SUM(G175:G176)</f>
        <v>5.6000000000000008E-2</v>
      </c>
      <c r="H185" s="112"/>
      <c r="J185" s="195"/>
      <c r="K185" s="134">
        <v>5.800000000000001E-2</v>
      </c>
      <c r="L185" s="134">
        <v>5.800000000000001E-2</v>
      </c>
      <c r="M185" s="134">
        <v>5.800000000000001E-2</v>
      </c>
      <c r="N185" s="134">
        <v>5.800000000000001E-2</v>
      </c>
      <c r="O185" s="134">
        <v>5.800000000000001E-2</v>
      </c>
    </row>
    <row r="186" spans="1:15" s="4" customFormat="1" ht="12.95" customHeight="1" x14ac:dyDescent="0.2">
      <c r="B186" s="4" t="s">
        <v>118</v>
      </c>
      <c r="E186" s="193">
        <f>+E156/E174</f>
        <v>2.75E-2</v>
      </c>
      <c r="F186" s="193">
        <f>+F156/F174</f>
        <v>3.5000000000000003E-2</v>
      </c>
      <c r="G186" s="194">
        <f>+G156/G174</f>
        <v>4.2500000000000003E-2</v>
      </c>
      <c r="H186" s="112"/>
      <c r="J186" s="195"/>
      <c r="K186" s="134">
        <v>0.05</v>
      </c>
      <c r="L186" s="134">
        <v>0.05</v>
      </c>
      <c r="M186" s="134">
        <v>0.05</v>
      </c>
      <c r="N186" s="134">
        <v>0.05</v>
      </c>
      <c r="O186" s="134">
        <v>0.05</v>
      </c>
    </row>
    <row r="187" spans="1:15" s="4" customFormat="1" ht="12.95" customHeight="1" x14ac:dyDescent="0.2">
      <c r="B187" s="4" t="s">
        <v>120</v>
      </c>
      <c r="E187" s="193">
        <f>+E159/E174</f>
        <v>0.01</v>
      </c>
      <c r="F187" s="193">
        <f>+F159/F174</f>
        <v>0.01</v>
      </c>
      <c r="G187" s="194">
        <f>+G159/G174</f>
        <v>0.01</v>
      </c>
      <c r="H187" s="112"/>
      <c r="J187" s="195"/>
      <c r="K187" s="134">
        <v>0.01</v>
      </c>
      <c r="L187" s="134">
        <v>0.01</v>
      </c>
      <c r="M187" s="134">
        <v>0.01</v>
      </c>
      <c r="N187" s="134">
        <v>0.01</v>
      </c>
      <c r="O187" s="134">
        <v>0.01</v>
      </c>
    </row>
    <row r="188" spans="1:15" s="4" customFormat="1" ht="12.95" customHeight="1" x14ac:dyDescent="0.2">
      <c r="G188" s="131"/>
      <c r="H188" s="112"/>
      <c r="J188" s="107"/>
    </row>
    <row r="189" spans="1:15" s="4" customFormat="1" ht="12.95" customHeight="1" x14ac:dyDescent="0.2">
      <c r="B189" s="4" t="s">
        <v>60</v>
      </c>
      <c r="E189" s="200">
        <f>+(E146-E142)-E157</f>
        <v>53.905186204997605</v>
      </c>
      <c r="F189" s="200">
        <f>+(F146-F142)-F157</f>
        <v>44.910844831880468</v>
      </c>
      <c r="G189" s="201">
        <f>+(G146-G142)-G157</f>
        <v>34.402187826229095</v>
      </c>
      <c r="H189" s="202"/>
      <c r="I189" s="200"/>
      <c r="J189" s="102"/>
      <c r="K189" s="200">
        <f ca="1">+(K146-K142)-K157</f>
        <v>22.413878491836641</v>
      </c>
      <c r="L189" s="200">
        <f ca="1">+(L146-L142)-L157</f>
        <v>24.17549995151694</v>
      </c>
      <c r="M189" s="200">
        <f ca="1">+(M146-M142)-M157</f>
        <v>26.073920410942577</v>
      </c>
      <c r="N189" s="200">
        <f ca="1">+(N146-N142)-N157</f>
        <v>28.11965978492529</v>
      </c>
      <c r="O189" s="200">
        <f ca="1">+(O146-O142)-O157</f>
        <v>30.324040461251997</v>
      </c>
    </row>
    <row r="190" spans="1:15" s="4" customFormat="1" ht="12.95" customHeight="1" x14ac:dyDescent="0.2">
      <c r="B190" s="3" t="s">
        <v>195</v>
      </c>
      <c r="C190" s="3"/>
      <c r="D190" s="3"/>
      <c r="E190" s="203">
        <f>+E189/E174</f>
        <v>5.9894651338886225E-2</v>
      </c>
      <c r="F190" s="203">
        <f>+F189/F174</f>
        <v>4.6636391310363935E-2</v>
      </c>
      <c r="G190" s="204">
        <f>+G189/G174</f>
        <v>3.3386892427508558E-2</v>
      </c>
      <c r="H190" s="115"/>
      <c r="I190" s="3"/>
      <c r="J190" s="205"/>
      <c r="K190" s="203">
        <f ca="1">+K189/K174</f>
        <v>2.0329334917528644E-2</v>
      </c>
      <c r="L190" s="203">
        <f ca="1">+L189/L174</f>
        <v>2.0492636846519387E-2</v>
      </c>
      <c r="M190" s="203">
        <f ca="1">+M189/M174</f>
        <v>2.0655938775510207E-2</v>
      </c>
      <c r="N190" s="203">
        <f ca="1">+N189/N174</f>
        <v>2.0819240704500967E-2</v>
      </c>
      <c r="O190" s="203">
        <f ca="1">+O189/O174</f>
        <v>2.0982542633491749E-2</v>
      </c>
    </row>
    <row r="191" spans="1:15" ht="12.95" customHeight="1" x14ac:dyDescent="0.2">
      <c r="B191" s="3"/>
      <c r="C191" s="3"/>
      <c r="D191" s="3"/>
      <c r="E191" s="3"/>
      <c r="F191" s="3"/>
      <c r="G191" s="3"/>
      <c r="H191" s="3"/>
      <c r="I191" s="3"/>
      <c r="J191" s="3"/>
      <c r="K191" s="3"/>
      <c r="L191" s="3"/>
      <c r="M191" s="3"/>
      <c r="N191" s="3"/>
      <c r="O191" s="3"/>
    </row>
    <row r="192" spans="1:15" ht="12.95" customHeight="1" x14ac:dyDescent="0.2">
      <c r="A192" s="1" t="s">
        <v>39</v>
      </c>
      <c r="B192" s="50" t="s">
        <v>103</v>
      </c>
      <c r="C192" s="51"/>
      <c r="D192" s="51"/>
      <c r="E192" s="51"/>
      <c r="F192" s="51"/>
      <c r="G192" s="51"/>
      <c r="H192" s="51"/>
      <c r="I192" s="51"/>
      <c r="J192" s="51"/>
      <c r="K192" s="51"/>
      <c r="L192" s="51"/>
      <c r="M192" s="51"/>
      <c r="N192" s="51"/>
      <c r="O192" s="73"/>
    </row>
    <row r="194" spans="2:15" ht="12.95" customHeight="1" x14ac:dyDescent="0.35">
      <c r="I194" s="206"/>
      <c r="J194" s="206"/>
      <c r="K194" s="10" t="str">
        <f>+$K$34</f>
        <v>Fiscal Year Ended 12/31</v>
      </c>
      <c r="L194" s="206"/>
      <c r="M194" s="206"/>
      <c r="N194" s="206"/>
      <c r="O194" s="206"/>
    </row>
    <row r="195" spans="2:15" ht="12.95" customHeight="1" x14ac:dyDescent="0.2">
      <c r="B195" s="24" t="s">
        <v>66</v>
      </c>
      <c r="K195" s="13">
        <f>+$K$106</f>
        <v>2020</v>
      </c>
      <c r="L195" s="13">
        <f>+$L$106</f>
        <v>2021</v>
      </c>
      <c r="M195" s="13">
        <f>+$M$106</f>
        <v>2022</v>
      </c>
      <c r="N195" s="13">
        <f>+$N$106</f>
        <v>2023</v>
      </c>
      <c r="O195" s="13">
        <f>+$O$106</f>
        <v>2024</v>
      </c>
    </row>
    <row r="196" spans="2:15" ht="12.95" customHeight="1" x14ac:dyDescent="0.2">
      <c r="B196" s="1" t="s">
        <v>23</v>
      </c>
      <c r="H196" s="108"/>
      <c r="I196" s="108"/>
      <c r="J196" s="108"/>
      <c r="K196" s="15">
        <f ca="1">+K116</f>
        <v>60.160343164040981</v>
      </c>
      <c r="L196" s="15">
        <f ca="1">+L116</f>
        <v>74.326836171958078</v>
      </c>
      <c r="M196" s="15">
        <f ca="1">+M116</f>
        <v>90.029978189790398</v>
      </c>
      <c r="N196" s="15">
        <f ca="1">+N116</f>
        <v>107.54585140618113</v>
      </c>
      <c r="O196" s="15">
        <f ca="1">+O116</f>
        <v>128.40298904565373</v>
      </c>
    </row>
    <row r="197" spans="2:15" ht="12.95" customHeight="1" x14ac:dyDescent="0.2">
      <c r="B197" s="1" t="s">
        <v>67</v>
      </c>
      <c r="H197" s="38"/>
      <c r="I197" s="38"/>
      <c r="J197" s="38"/>
      <c r="K197" s="16">
        <f>+K120</f>
        <v>41.896470600000008</v>
      </c>
      <c r="L197" s="16">
        <f>+L120</f>
        <v>46.008939951000009</v>
      </c>
      <c r="M197" s="16">
        <f>+M120</f>
        <v>50.491862305200023</v>
      </c>
      <c r="N197" s="16">
        <f>+N120</f>
        <v>55.376949983228123</v>
      </c>
      <c r="O197" s="16">
        <f>+O120</f>
        <v>60.698539810884689</v>
      </c>
    </row>
    <row r="198" spans="2:15" ht="12.95" customHeight="1" x14ac:dyDescent="0.2">
      <c r="B198" s="1" t="s">
        <v>145</v>
      </c>
      <c r="H198" s="38"/>
      <c r="I198" s="38"/>
      <c r="J198" s="38"/>
      <c r="K198" s="16">
        <f>+K42</f>
        <v>3.4871743385714247</v>
      </c>
      <c r="L198" s="16">
        <f>+L42</f>
        <v>3.4871743385714282</v>
      </c>
      <c r="M198" s="16">
        <f>+M42</f>
        <v>3.4871743385714264</v>
      </c>
      <c r="N198" s="16">
        <f>+N42</f>
        <v>3.4871743385714264</v>
      </c>
      <c r="O198" s="16">
        <f>+O42</f>
        <v>3.4871743385714282</v>
      </c>
    </row>
    <row r="199" spans="2:15" ht="12.95" customHeight="1" x14ac:dyDescent="0.2">
      <c r="B199" s="1" t="s">
        <v>150</v>
      </c>
      <c r="H199" s="38"/>
      <c r="I199" s="38"/>
      <c r="J199" s="38"/>
      <c r="K199" s="62">
        <f ca="1">K319</f>
        <v>16.223889166666662</v>
      </c>
      <c r="L199" s="62">
        <f t="shared" ref="L199:O199" ca="1" si="52">L319</f>
        <v>17.575879930555548</v>
      </c>
      <c r="M199" s="62">
        <f t="shared" ca="1" si="52"/>
        <v>19.040536591435178</v>
      </c>
      <c r="N199" s="62">
        <f t="shared" ca="1" si="52"/>
        <v>20.49229246261693</v>
      </c>
      <c r="O199" s="62">
        <f t="shared" ca="1" si="52"/>
        <v>16.195162976154954</v>
      </c>
    </row>
    <row r="201" spans="2:15" ht="12.95" customHeight="1" x14ac:dyDescent="0.2">
      <c r="B201" s="24" t="s">
        <v>85</v>
      </c>
    </row>
    <row r="202" spans="2:15" ht="12.95" customHeight="1" x14ac:dyDescent="0.2">
      <c r="B202" s="1" t="str">
        <f>+"(Increase) / Decrease in "&amp;B143</f>
        <v>(Increase) / Decrease in Accounts Receivable</v>
      </c>
      <c r="H202" s="38"/>
      <c r="I202" s="38"/>
      <c r="J202" s="38"/>
      <c r="K202" s="16">
        <f t="shared" ref="K202:O204" si="53">+(J143-K143)</f>
        <v>-4.5168657534246393</v>
      </c>
      <c r="L202" s="16">
        <f t="shared" si="53"/>
        <v>-6.3433733424657532</v>
      </c>
      <c r="M202" s="16">
        <f t="shared" si="53"/>
        <v>-6.7874094764383699</v>
      </c>
      <c r="N202" s="16">
        <f t="shared" si="53"/>
        <v>-7.2625281397890546</v>
      </c>
      <c r="O202" s="16">
        <f t="shared" si="53"/>
        <v>-7.7709051095742865</v>
      </c>
    </row>
    <row r="203" spans="2:15" ht="12.95" customHeight="1" x14ac:dyDescent="0.2">
      <c r="B203" s="1" t="str">
        <f>+"(Increase) / Decrease in "&amp;B144</f>
        <v>(Increase) / Decrease in Inventories</v>
      </c>
      <c r="H203" s="38"/>
      <c r="I203" s="38"/>
      <c r="J203" s="38"/>
      <c r="K203" s="16">
        <f t="shared" si="53"/>
        <v>-4.2586686249870525</v>
      </c>
      <c r="L203" s="16">
        <f t="shared" si="53"/>
        <v>-4.2166480077551114</v>
      </c>
      <c r="M203" s="16">
        <f t="shared" si="53"/>
        <v>-4.4949602767408265</v>
      </c>
      <c r="N203" s="16">
        <f t="shared" si="53"/>
        <v>-4.7915746881465395</v>
      </c>
      <c r="O203" s="16">
        <f t="shared" si="53"/>
        <v>-5.1076898117930227</v>
      </c>
    </row>
    <row r="204" spans="2:15" ht="12.95" customHeight="1" x14ac:dyDescent="0.2">
      <c r="B204" s="1" t="str">
        <f>+"(Increase) / Decrease in "&amp;B145</f>
        <v>(Increase) / Decrease in Prepaid Expenses</v>
      </c>
      <c r="H204" s="38"/>
      <c r="I204" s="38"/>
      <c r="J204" s="38"/>
      <c r="K204" s="16">
        <f t="shared" si="53"/>
        <v>-0.84493619999999936</v>
      </c>
      <c r="L204" s="16">
        <f t="shared" si="53"/>
        <v>-2.0066204339999985</v>
      </c>
      <c r="M204" s="16">
        <f t="shared" si="53"/>
        <v>-2.1470838643800079</v>
      </c>
      <c r="N204" s="16">
        <f t="shared" si="53"/>
        <v>-2.2973797348865972</v>
      </c>
      <c r="O204" s="16">
        <f t="shared" si="53"/>
        <v>-2.4581963163286673</v>
      </c>
    </row>
    <row r="205" spans="2:15" ht="12.95" customHeight="1" x14ac:dyDescent="0.2">
      <c r="B205" s="1" t="str">
        <f>+"(Increase) / Decrease in "&amp;B151</f>
        <v>(Increase) / Decrease in Other Long-Term (Operating) Assets</v>
      </c>
      <c r="H205" s="38"/>
      <c r="I205" s="38"/>
      <c r="J205" s="38"/>
      <c r="K205" s="16">
        <f>+(J151-K151)</f>
        <v>-8.0371979999999965</v>
      </c>
      <c r="L205" s="16">
        <f>+(K151-L151)</f>
        <v>-3.087108360000002</v>
      </c>
      <c r="M205" s="16">
        <f>+(L151-M151)</f>
        <v>-3.3032059452000126</v>
      </c>
      <c r="N205" s="16">
        <f>+(M151-N151)</f>
        <v>-3.5344303613640022</v>
      </c>
      <c r="O205" s="16">
        <f>+(N151-O151)</f>
        <v>-3.7818404866594832</v>
      </c>
    </row>
    <row r="206" spans="2:15" ht="12.95" customHeight="1" x14ac:dyDescent="0.2">
      <c r="B206" s="1" t="str">
        <f>+"Increase / (Decrease) in "&amp;B154</f>
        <v>Increase / (Decrease) in Accounts Payable</v>
      </c>
      <c r="H206" s="38"/>
      <c r="I206" s="38"/>
      <c r="J206" s="38"/>
      <c r="K206" s="16">
        <f t="shared" ref="K206:O208" si="54">+K154-J154</f>
        <v>5.1904433589041119</v>
      </c>
      <c r="L206" s="16">
        <f t="shared" si="54"/>
        <v>3.396423326794519</v>
      </c>
      <c r="M206" s="16">
        <f t="shared" si="54"/>
        <v>3.62059814071727</v>
      </c>
      <c r="N206" s="16">
        <f t="shared" si="54"/>
        <v>3.8595149542878886</v>
      </c>
      <c r="O206" s="16">
        <f t="shared" si="54"/>
        <v>4.1141391908688973</v>
      </c>
    </row>
    <row r="207" spans="2:15" ht="12.95" customHeight="1" x14ac:dyDescent="0.2">
      <c r="B207" s="1" t="str">
        <f>+"Increase / (Decrease) in "&amp;B155</f>
        <v>Increase / (Decrease) in Accrued Liabilities</v>
      </c>
      <c r="H207" s="38"/>
      <c r="I207" s="38"/>
      <c r="J207" s="38"/>
      <c r="K207" s="16">
        <f t="shared" si="54"/>
        <v>5.0838265539000034</v>
      </c>
      <c r="L207" s="16">
        <f t="shared" si="54"/>
        <v>3.5497115477460071</v>
      </c>
      <c r="M207" s="16">
        <f t="shared" si="54"/>
        <v>3.7814275859163331</v>
      </c>
      <c r="N207" s="16">
        <f t="shared" si="54"/>
        <v>4.0281902828465519</v>
      </c>
      <c r="O207" s="16">
        <f t="shared" si="54"/>
        <v>4.2909707621760305</v>
      </c>
    </row>
    <row r="208" spans="2:15" ht="12.95" customHeight="1" x14ac:dyDescent="0.2">
      <c r="B208" s="1" t="str">
        <f>+"Increase / (Decrease) in "&amp;B156</f>
        <v>Increase / (Decrease) in Deferred Revenue</v>
      </c>
      <c r="H208" s="38"/>
      <c r="I208" s="38"/>
      <c r="J208" s="38"/>
      <c r="K208" s="16">
        <f t="shared" si="54"/>
        <v>11.334509999999995</v>
      </c>
      <c r="L208" s="16">
        <f t="shared" si="54"/>
        <v>3.8588854500000025</v>
      </c>
      <c r="M208" s="16">
        <f t="shared" si="54"/>
        <v>4.129007431500014</v>
      </c>
      <c r="N208" s="16">
        <f t="shared" si="54"/>
        <v>4.4180379517050028</v>
      </c>
      <c r="O208" s="16">
        <f t="shared" si="54"/>
        <v>4.7273006083243558</v>
      </c>
    </row>
    <row r="209" spans="2:15" s="4" customFormat="1" ht="12.95" customHeight="1" x14ac:dyDescent="0.2">
      <c r="B209" s="3" t="str">
        <f>+"Increase / (Decrease) in "&amp;B159</f>
        <v>Increase / (Decrease) in Other Long-Term (Operating) Liabilities</v>
      </c>
      <c r="C209" s="3"/>
      <c r="D209" s="3"/>
      <c r="E209" s="3"/>
      <c r="F209" s="3"/>
      <c r="G209" s="3"/>
      <c r="H209" s="153"/>
      <c r="I209" s="153"/>
      <c r="J209" s="153"/>
      <c r="K209" s="66">
        <f>+K159-J159</f>
        <v>0.72128699999999846</v>
      </c>
      <c r="L209" s="66">
        <f>+L159-K159</f>
        <v>0.7717770900000005</v>
      </c>
      <c r="M209" s="66">
        <f>+M159-L159</f>
        <v>0.82580148630000316</v>
      </c>
      <c r="N209" s="66">
        <f>+N159-M159</f>
        <v>0.88360759034100056</v>
      </c>
      <c r="O209" s="66">
        <f>+O159-N159</f>
        <v>0.94546012166487081</v>
      </c>
    </row>
    <row r="210" spans="2:15" s="4" customFormat="1" ht="12.95" customHeight="1" x14ac:dyDescent="0.2">
      <c r="B210" s="4" t="s">
        <v>68</v>
      </c>
      <c r="H210" s="200"/>
      <c r="I210" s="200"/>
      <c r="J210" s="200"/>
      <c r="K210" s="54">
        <f>+SUM(K202:K209)</f>
        <v>4.6723983343924207</v>
      </c>
      <c r="L210" s="54">
        <f>+SUM(L202:L209)</f>
        <v>-4.0769527296803361</v>
      </c>
      <c r="M210" s="54">
        <f>+SUM(M202:M209)</f>
        <v>-4.3758249183255966</v>
      </c>
      <c r="N210" s="54">
        <f>+SUM(N202:N209)</f>
        <v>-4.6965621450057498</v>
      </c>
      <c r="O210" s="54">
        <f>+SUM(O202:O209)</f>
        <v>-5.0407610413213053</v>
      </c>
    </row>
    <row r="211" spans="2:15" s="4" customFormat="1" ht="12.95" customHeight="1" x14ac:dyDescent="0.2"/>
    <row r="212" spans="2:15" s="4" customFormat="1" ht="12.95" customHeight="1" x14ac:dyDescent="0.2">
      <c r="B212" s="207" t="s">
        <v>69</v>
      </c>
      <c r="C212" s="208"/>
      <c r="D212" s="208"/>
      <c r="E212" s="208"/>
      <c r="F212" s="208"/>
      <c r="G212" s="208"/>
      <c r="H212" s="209"/>
      <c r="I212" s="209"/>
      <c r="J212" s="209"/>
      <c r="K212" s="22">
        <f ca="1">+SUM(K196:K199,K210)</f>
        <v>126.44027560367149</v>
      </c>
      <c r="L212" s="22">
        <f ca="1">+SUM(L196:L199,L210)</f>
        <v>137.32187766240475</v>
      </c>
      <c r="M212" s="22">
        <f ca="1">+SUM(M196:M199,M210)</f>
        <v>158.67372650667141</v>
      </c>
      <c r="N212" s="22">
        <f ca="1">+SUM(N196:N199,N210)</f>
        <v>182.20570604559188</v>
      </c>
      <c r="O212" s="23">
        <f ca="1">+SUM(O196:O199,O210)</f>
        <v>203.7431051299435</v>
      </c>
    </row>
    <row r="213" spans="2:15" s="4" customFormat="1" ht="12.95" customHeight="1" x14ac:dyDescent="0.2"/>
    <row r="214" spans="2:15" ht="12.95" customHeight="1" x14ac:dyDescent="0.2">
      <c r="B214" s="24" t="s">
        <v>70</v>
      </c>
    </row>
    <row r="215" spans="2:15" ht="12.95" customHeight="1" x14ac:dyDescent="0.2">
      <c r="B215" s="4" t="s">
        <v>71</v>
      </c>
      <c r="C215" s="4"/>
      <c r="D215" s="4"/>
      <c r="E215" s="4"/>
      <c r="F215" s="4"/>
      <c r="G215" s="4"/>
      <c r="H215" s="200"/>
      <c r="I215" s="200"/>
      <c r="J215" s="200"/>
      <c r="K215" s="54">
        <f>-K126</f>
        <v>-45.755356050000003</v>
      </c>
      <c r="L215" s="54">
        <f>-L126</f>
        <v>-49.548089178000005</v>
      </c>
      <c r="M215" s="54">
        <f>-M126</f>
        <v>-53.647603699275017</v>
      </c>
      <c r="N215" s="54">
        <f>-N126</f>
        <v>-58.078264616556318</v>
      </c>
      <c r="O215" s="54">
        <f>-O126</f>
        <v>-62.866344804130563</v>
      </c>
    </row>
    <row r="216" spans="2:15" s="76" customFormat="1" ht="12.95" customHeight="1" x14ac:dyDescent="0.2">
      <c r="B216" s="20" t="s">
        <v>72</v>
      </c>
      <c r="C216" s="21"/>
      <c r="D216" s="21"/>
      <c r="E216" s="21"/>
      <c r="F216" s="21"/>
      <c r="G216" s="21"/>
      <c r="H216" s="172"/>
      <c r="I216" s="172"/>
      <c r="J216" s="172"/>
      <c r="K216" s="22">
        <f>SUM(K215)</f>
        <v>-45.755356050000003</v>
      </c>
      <c r="L216" s="22">
        <f>SUM(L215)</f>
        <v>-49.548089178000005</v>
      </c>
      <c r="M216" s="22">
        <f>SUM(M215)</f>
        <v>-53.647603699275017</v>
      </c>
      <c r="N216" s="22">
        <f>SUM(N215)</f>
        <v>-58.078264616556318</v>
      </c>
      <c r="O216" s="23">
        <f>SUM(O215)</f>
        <v>-62.866344804130563</v>
      </c>
    </row>
    <row r="218" spans="2:15" ht="12.95" customHeight="1" x14ac:dyDescent="0.2">
      <c r="B218" s="24" t="s">
        <v>81</v>
      </c>
    </row>
    <row r="219" spans="2:15" ht="12.95" customHeight="1" x14ac:dyDescent="0.2">
      <c r="B219" s="1" t="s">
        <v>82</v>
      </c>
      <c r="H219" s="25"/>
      <c r="I219" s="25"/>
      <c r="J219" s="25"/>
      <c r="K219" s="16">
        <f>+K231</f>
        <v>-7.787466799999998</v>
      </c>
      <c r="L219" s="16">
        <f ca="1">+L231</f>
        <v>-7.787466799999998</v>
      </c>
      <c r="M219" s="16">
        <f ca="1">+M231</f>
        <v>-7.787466799999998</v>
      </c>
      <c r="N219" s="16">
        <f ca="1">+N231</f>
        <v>-7.787466799999998</v>
      </c>
      <c r="O219" s="16">
        <f ca="1">+O231</f>
        <v>0</v>
      </c>
    </row>
    <row r="220" spans="2:15" ht="12.95" customHeight="1" x14ac:dyDescent="0.2">
      <c r="B220" s="3" t="s">
        <v>83</v>
      </c>
      <c r="C220" s="3"/>
      <c r="D220" s="3"/>
      <c r="E220" s="3"/>
      <c r="F220" s="3"/>
      <c r="G220" s="3"/>
      <c r="H220" s="27"/>
      <c r="I220" s="27"/>
      <c r="J220" s="27"/>
      <c r="K220" s="66">
        <f ca="1">+K248</f>
        <v>-67.897452753671487</v>
      </c>
      <c r="L220" s="66">
        <f ca="1">+L248</f>
        <v>-79.986321684404743</v>
      </c>
      <c r="M220" s="66">
        <f ca="1">+M248</f>
        <v>-97.238656007396401</v>
      </c>
      <c r="N220" s="66">
        <f ca="1">+N248</f>
        <v>-116.33997462903557</v>
      </c>
      <c r="O220" s="66">
        <f ca="1">+O248</f>
        <v>-140.87676032581294</v>
      </c>
    </row>
    <row r="221" spans="2:15" s="76" customFormat="1" ht="12.95" customHeight="1" x14ac:dyDescent="0.2">
      <c r="B221" s="69" t="s">
        <v>84</v>
      </c>
      <c r="C221" s="69"/>
      <c r="D221" s="69"/>
      <c r="E221" s="69"/>
      <c r="F221" s="69"/>
      <c r="G221" s="69"/>
      <c r="H221" s="210"/>
      <c r="I221" s="210"/>
      <c r="J221" s="210"/>
      <c r="K221" s="71">
        <f ca="1">+SUM(K219:K220)</f>
        <v>-75.684919553671492</v>
      </c>
      <c r="L221" s="71">
        <f ca="1">+SUM(L219:L220)</f>
        <v>-87.773788484404747</v>
      </c>
      <c r="M221" s="71">
        <f ca="1">+SUM(M219:M220)</f>
        <v>-105.0261228073964</v>
      </c>
      <c r="N221" s="71">
        <f ca="1">+SUM(N219:N220)</f>
        <v>-124.12744142903557</v>
      </c>
      <c r="O221" s="71">
        <f ca="1">+SUM(O219:O220)</f>
        <v>-140.87676032581294</v>
      </c>
    </row>
    <row r="223" spans="2:15" ht="12.95" customHeight="1" x14ac:dyDescent="0.2">
      <c r="B223" s="207" t="s">
        <v>87</v>
      </c>
      <c r="C223" s="208"/>
      <c r="D223" s="208"/>
      <c r="E223" s="208"/>
      <c r="F223" s="208"/>
      <c r="G223" s="208"/>
      <c r="H223" s="209"/>
      <c r="I223" s="209"/>
      <c r="J223" s="209"/>
      <c r="K223" s="22">
        <f ca="1">+K212+K216+K221</f>
        <v>5</v>
      </c>
      <c r="L223" s="22">
        <f ca="1">+L212+L216+L221</f>
        <v>0</v>
      </c>
      <c r="M223" s="22">
        <f ca="1">+M212+M216+M221</f>
        <v>0</v>
      </c>
      <c r="N223" s="22">
        <f ca="1">+N212+N216+N221</f>
        <v>0</v>
      </c>
      <c r="O223" s="23">
        <f ca="1">+O212+O216+O221</f>
        <v>0</v>
      </c>
    </row>
    <row r="225" spans="1:15" ht="12.95" customHeight="1" x14ac:dyDescent="0.2">
      <c r="A225" s="1" t="s">
        <v>39</v>
      </c>
      <c r="B225" s="50" t="s">
        <v>102</v>
      </c>
      <c r="C225" s="51"/>
      <c r="D225" s="51"/>
      <c r="E225" s="51"/>
      <c r="F225" s="51"/>
      <c r="G225" s="51"/>
      <c r="H225" s="51"/>
      <c r="I225" s="51"/>
      <c r="J225" s="51"/>
      <c r="K225" s="51"/>
      <c r="L225" s="51"/>
      <c r="M225" s="51"/>
      <c r="N225" s="51"/>
      <c r="O225" s="73"/>
    </row>
    <row r="227" spans="1:15" ht="12.95" customHeight="1" x14ac:dyDescent="0.35">
      <c r="K227" s="10" t="str">
        <f>+$K$34</f>
        <v>Fiscal Year Ended 12/31</v>
      </c>
      <c r="L227" s="206"/>
      <c r="M227" s="206"/>
      <c r="N227" s="206"/>
      <c r="O227" s="206"/>
    </row>
    <row r="228" spans="1:15" ht="12.95" customHeight="1" x14ac:dyDescent="0.2">
      <c r="K228" s="13">
        <f>+$K$106</f>
        <v>2020</v>
      </c>
      <c r="L228" s="13">
        <f>+$L$106</f>
        <v>2021</v>
      </c>
      <c r="M228" s="13">
        <f>+$M$106</f>
        <v>2022</v>
      </c>
      <c r="N228" s="13">
        <f>+$N$106</f>
        <v>2023</v>
      </c>
      <c r="O228" s="13">
        <f>+$O$106</f>
        <v>2024</v>
      </c>
    </row>
    <row r="229" spans="1:15" ht="12.95" customHeight="1" x14ac:dyDescent="0.2">
      <c r="B229" s="24" t="s">
        <v>73</v>
      </c>
    </row>
    <row r="230" spans="1:15" ht="12.95" customHeight="1" x14ac:dyDescent="0.2">
      <c r="B230" s="3" t="str">
        <f>+B163</f>
        <v>First Lien Term Loan</v>
      </c>
      <c r="C230" s="3"/>
      <c r="D230" s="3"/>
      <c r="E230" s="3"/>
      <c r="F230" s="3"/>
      <c r="G230" s="3"/>
      <c r="H230" s="3"/>
      <c r="I230" s="3"/>
      <c r="J230" s="3"/>
      <c r="K230" s="211">
        <f>+K271</f>
        <v>-7.787466799999998</v>
      </c>
      <c r="L230" s="211">
        <f ca="1">+L271</f>
        <v>-7.787466799999998</v>
      </c>
      <c r="M230" s="211">
        <f ca="1">+M271</f>
        <v>-7.787466799999998</v>
      </c>
      <c r="N230" s="211">
        <f ca="1">+N271</f>
        <v>-7.787466799999998</v>
      </c>
      <c r="O230" s="211">
        <f ca="1">+O271</f>
        <v>0</v>
      </c>
    </row>
    <row r="231" spans="1:15" s="76" customFormat="1" ht="12.95" customHeight="1" x14ac:dyDescent="0.2">
      <c r="B231" s="69" t="s">
        <v>74</v>
      </c>
      <c r="C231" s="69"/>
      <c r="D231" s="69"/>
      <c r="E231" s="69"/>
      <c r="F231" s="69"/>
      <c r="G231" s="69"/>
      <c r="H231" s="212"/>
      <c r="I231" s="212"/>
      <c r="J231" s="212"/>
      <c r="K231" s="71">
        <f>+SUM(K230)</f>
        <v>-7.787466799999998</v>
      </c>
      <c r="L231" s="71">
        <f ca="1">+SUM(L230)</f>
        <v>-7.787466799999998</v>
      </c>
      <c r="M231" s="71">
        <f ca="1">+SUM(M230)</f>
        <v>-7.787466799999998</v>
      </c>
      <c r="N231" s="71">
        <f ca="1">+SUM(N230)</f>
        <v>-7.787466799999998</v>
      </c>
      <c r="O231" s="71">
        <f ca="1">+SUM(O230)</f>
        <v>0</v>
      </c>
    </row>
    <row r="233" spans="1:15" ht="12.95" customHeight="1" x14ac:dyDescent="0.2">
      <c r="B233" s="24" t="s">
        <v>196</v>
      </c>
    </row>
    <row r="234" spans="1:15" ht="12.95" customHeight="1" x14ac:dyDescent="0.2">
      <c r="B234" s="1" t="s">
        <v>122</v>
      </c>
      <c r="K234" s="16">
        <f ca="1">+K212+K216</f>
        <v>80.684919553671492</v>
      </c>
      <c r="L234" s="16">
        <f ca="1">+L212+L216</f>
        <v>87.773788484404747</v>
      </c>
      <c r="M234" s="16">
        <f ca="1">+M212+M216</f>
        <v>105.0261228073964</v>
      </c>
      <c r="N234" s="16">
        <f ca="1">+N212+N216</f>
        <v>124.12744142903557</v>
      </c>
      <c r="O234" s="16">
        <f ca="1">+O212+O216</f>
        <v>140.87676032581294</v>
      </c>
    </row>
    <row r="235" spans="1:15" ht="12.95" customHeight="1" x14ac:dyDescent="0.2">
      <c r="B235" s="1" t="s">
        <v>123</v>
      </c>
      <c r="K235" s="16">
        <f>+K231</f>
        <v>-7.787466799999998</v>
      </c>
      <c r="L235" s="16">
        <f ca="1">+L231</f>
        <v>-7.787466799999998</v>
      </c>
      <c r="M235" s="16">
        <f ca="1">+M231</f>
        <v>-7.787466799999998</v>
      </c>
      <c r="N235" s="16">
        <f ca="1">+N231</f>
        <v>-7.787466799999998</v>
      </c>
      <c r="O235" s="16">
        <f ca="1">+O231</f>
        <v>0</v>
      </c>
    </row>
    <row r="236" spans="1:15" s="76" customFormat="1" ht="12.95" customHeight="1" x14ac:dyDescent="0.2">
      <c r="B236" s="20" t="s">
        <v>75</v>
      </c>
      <c r="C236" s="21"/>
      <c r="D236" s="21"/>
      <c r="E236" s="21"/>
      <c r="F236" s="21"/>
      <c r="G236" s="21"/>
      <c r="H236" s="21"/>
      <c r="I236" s="21"/>
      <c r="J236" s="21"/>
      <c r="K236" s="22">
        <f ca="1">SUM(K234:K235)</f>
        <v>72.897452753671487</v>
      </c>
      <c r="L236" s="22">
        <f ca="1">SUM(L234:L235)</f>
        <v>79.986321684404743</v>
      </c>
      <c r="M236" s="22">
        <f ca="1">SUM(M234:M235)</f>
        <v>97.238656007396401</v>
      </c>
      <c r="N236" s="22">
        <f ca="1">SUM(N234:N235)</f>
        <v>116.33997462903557</v>
      </c>
      <c r="O236" s="23">
        <f ca="1">SUM(O234:O235)</f>
        <v>140.87676032581294</v>
      </c>
    </row>
    <row r="238" spans="1:15" ht="12.95" customHeight="1" x14ac:dyDescent="0.2">
      <c r="B238" s="1" t="s">
        <v>76</v>
      </c>
      <c r="H238" s="38"/>
      <c r="I238" s="38"/>
      <c r="J238" s="38"/>
      <c r="K238" s="16">
        <f>+J142</f>
        <v>0</v>
      </c>
      <c r="L238" s="16">
        <f ca="1">+K142</f>
        <v>5</v>
      </c>
      <c r="M238" s="16">
        <f ca="1">+L142</f>
        <v>5</v>
      </c>
      <c r="N238" s="16">
        <f ca="1">+M142</f>
        <v>5</v>
      </c>
      <c r="O238" s="16">
        <f ca="1">+N142</f>
        <v>5</v>
      </c>
    </row>
    <row r="239" spans="1:15" ht="12.95" customHeight="1" x14ac:dyDescent="0.2">
      <c r="B239" s="4" t="s">
        <v>77</v>
      </c>
      <c r="C239" s="4"/>
      <c r="D239" s="4"/>
      <c r="E239" s="4"/>
      <c r="F239" s="4"/>
      <c r="G239" s="4"/>
      <c r="H239" s="150"/>
      <c r="I239" s="150"/>
      <c r="J239" s="150"/>
      <c r="K239" s="35">
        <f>-$E$6</f>
        <v>-5</v>
      </c>
      <c r="L239" s="35">
        <f>-$E$6</f>
        <v>-5</v>
      </c>
      <c r="M239" s="35">
        <f>-$E$6</f>
        <v>-5</v>
      </c>
      <c r="N239" s="35">
        <f>-$E$6</f>
        <v>-5</v>
      </c>
      <c r="O239" s="35">
        <f>-$E$6</f>
        <v>-5</v>
      </c>
    </row>
    <row r="240" spans="1:15" ht="12.95" customHeight="1" x14ac:dyDescent="0.2">
      <c r="B240" s="4" t="s">
        <v>78</v>
      </c>
      <c r="C240" s="4"/>
      <c r="D240" s="4"/>
      <c r="E240" s="4"/>
      <c r="F240" s="4"/>
      <c r="G240" s="4"/>
      <c r="H240" s="150"/>
      <c r="I240" s="150"/>
      <c r="J240" s="150"/>
      <c r="K240" s="35">
        <f ca="1">+K236</f>
        <v>72.897452753671487</v>
      </c>
      <c r="L240" s="35">
        <f ca="1">+L236</f>
        <v>79.986321684404743</v>
      </c>
      <c r="M240" s="35">
        <f ca="1">+M236</f>
        <v>97.238656007396401</v>
      </c>
      <c r="N240" s="35">
        <f ca="1">+N236</f>
        <v>116.33997462903557</v>
      </c>
      <c r="O240" s="35">
        <f ca="1">+O236</f>
        <v>140.87676032581294</v>
      </c>
    </row>
    <row r="241" spans="1:15" s="76" customFormat="1" ht="12.95" customHeight="1" x14ac:dyDescent="0.2">
      <c r="B241" s="20" t="s">
        <v>86</v>
      </c>
      <c r="C241" s="21"/>
      <c r="D241" s="21"/>
      <c r="E241" s="21"/>
      <c r="F241" s="21"/>
      <c r="G241" s="21"/>
      <c r="H241" s="172"/>
      <c r="I241" s="172"/>
      <c r="J241" s="172"/>
      <c r="K241" s="22">
        <f ca="1">SUM(K238:K240)</f>
        <v>67.897452753671487</v>
      </c>
      <c r="L241" s="22">
        <f ca="1">SUM(L238:L240)</f>
        <v>79.986321684404743</v>
      </c>
      <c r="M241" s="22">
        <f ca="1">SUM(M238:M240)</f>
        <v>97.238656007396401</v>
      </c>
      <c r="N241" s="22">
        <f ca="1">SUM(N238:N240)</f>
        <v>116.33997462903557</v>
      </c>
      <c r="O241" s="23">
        <f ca="1">SUM(O238:O240)</f>
        <v>140.87676032581294</v>
      </c>
    </row>
    <row r="243" spans="1:15" s="76" customFormat="1" ht="12.95" customHeight="1" x14ac:dyDescent="0.2">
      <c r="B243" s="24" t="s">
        <v>79</v>
      </c>
    </row>
    <row r="244" spans="1:15" ht="12.95" customHeight="1" x14ac:dyDescent="0.2">
      <c r="B244" s="1" t="str">
        <f>+B162</f>
        <v>Revolving Credit Facility</v>
      </c>
      <c r="K244" s="16">
        <f ca="1">+K258</f>
        <v>0</v>
      </c>
      <c r="L244" s="16">
        <f ca="1">+L258</f>
        <v>0</v>
      </c>
      <c r="M244" s="16">
        <f ca="1">+M258</f>
        <v>0</v>
      </c>
      <c r="N244" s="16">
        <f ca="1">+N258</f>
        <v>0</v>
      </c>
      <c r="O244" s="16">
        <f ca="1">+O258</f>
        <v>0</v>
      </c>
    </row>
    <row r="245" spans="1:15" ht="12.95" customHeight="1" x14ac:dyDescent="0.2">
      <c r="B245" s="1" t="str">
        <f>+B163</f>
        <v>First Lien Term Loan</v>
      </c>
      <c r="K245" s="16">
        <f ca="1">+K272</f>
        <v>-67.897452753671487</v>
      </c>
      <c r="L245" s="16">
        <f ca="1">+L272</f>
        <v>-79.986321684404743</v>
      </c>
      <c r="M245" s="16">
        <f ca="1">+M272</f>
        <v>-97.238656007396401</v>
      </c>
      <c r="N245" s="16">
        <f ca="1">+N272</f>
        <v>-113.10104235452724</v>
      </c>
      <c r="O245" s="16">
        <f ca="1">+O272</f>
        <v>0</v>
      </c>
    </row>
    <row r="246" spans="1:15" ht="12.95" customHeight="1" x14ac:dyDescent="0.2">
      <c r="B246" s="1" t="str">
        <f>+B164</f>
        <v>Second Lien Term Loan</v>
      </c>
      <c r="K246" s="16">
        <f ca="1">+K283</f>
        <v>0</v>
      </c>
      <c r="L246" s="16">
        <f ca="1">+L283</f>
        <v>0</v>
      </c>
      <c r="M246" s="16">
        <f ca="1">+M283</f>
        <v>0</v>
      </c>
      <c r="N246" s="16">
        <f ca="1">+N283</f>
        <v>-3.2389322745083291</v>
      </c>
      <c r="O246" s="16">
        <f ca="1">+O283</f>
        <v>-140.87676032581294</v>
      </c>
    </row>
    <row r="247" spans="1:15" ht="12.95" customHeight="1" x14ac:dyDescent="0.2">
      <c r="B247" s="3" t="str">
        <f>+B165</f>
        <v>Notes</v>
      </c>
      <c r="C247" s="3"/>
      <c r="D247" s="3"/>
      <c r="E247" s="3"/>
      <c r="F247" s="3"/>
      <c r="G247" s="3"/>
      <c r="H247" s="3"/>
      <c r="I247" s="3"/>
      <c r="J247" s="3"/>
      <c r="K247" s="66">
        <f ca="1">+K293</f>
        <v>0</v>
      </c>
      <c r="L247" s="66">
        <f ca="1">+L293</f>
        <v>0</v>
      </c>
      <c r="M247" s="66">
        <f ca="1">+M293</f>
        <v>0</v>
      </c>
      <c r="N247" s="66">
        <f ca="1">+N293</f>
        <v>0</v>
      </c>
      <c r="O247" s="66">
        <f ca="1">+O293</f>
        <v>0</v>
      </c>
    </row>
    <row r="248" spans="1:15" s="76" customFormat="1" ht="12.95" customHeight="1" x14ac:dyDescent="0.2">
      <c r="B248" s="69" t="s">
        <v>80</v>
      </c>
      <c r="C248" s="69"/>
      <c r="D248" s="69"/>
      <c r="E248" s="69"/>
      <c r="F248" s="69"/>
      <c r="G248" s="69"/>
      <c r="H248" s="69"/>
      <c r="I248" s="69"/>
      <c r="J248" s="69"/>
      <c r="K248" s="71">
        <f ca="1">SUM(K244:K247)</f>
        <v>-67.897452753671487</v>
      </c>
      <c r="L248" s="71">
        <f ca="1">SUM(L244:L247)</f>
        <v>-79.986321684404743</v>
      </c>
      <c r="M248" s="71">
        <f ca="1">SUM(M244:M247)</f>
        <v>-97.238656007396401</v>
      </c>
      <c r="N248" s="71">
        <f ca="1">SUM(N244:N247)</f>
        <v>-116.33997462903557</v>
      </c>
      <c r="O248" s="71">
        <f ca="1">SUM(O244:O247)</f>
        <v>-140.87676032581294</v>
      </c>
    </row>
    <row r="250" spans="1:15" ht="12.95" customHeight="1" x14ac:dyDescent="0.2">
      <c r="A250" s="1" t="s">
        <v>39</v>
      </c>
      <c r="B250" s="50" t="s">
        <v>101</v>
      </c>
      <c r="C250" s="51"/>
      <c r="D250" s="51"/>
      <c r="E250" s="51"/>
      <c r="F250" s="51"/>
      <c r="G250" s="51"/>
      <c r="H250" s="51"/>
      <c r="I250" s="51"/>
      <c r="J250" s="51"/>
      <c r="K250" s="51"/>
      <c r="L250" s="51"/>
      <c r="M250" s="51"/>
      <c r="N250" s="51"/>
      <c r="O250" s="73"/>
    </row>
    <row r="252" spans="1:15" ht="12.95" customHeight="1" x14ac:dyDescent="0.35">
      <c r="K252" s="10" t="str">
        <f>+$K$34</f>
        <v>Fiscal Year Ended 12/31</v>
      </c>
      <c r="L252" s="206"/>
      <c r="M252" s="206"/>
      <c r="N252" s="206"/>
      <c r="O252" s="206"/>
    </row>
    <row r="253" spans="1:15" ht="12.95" customHeight="1" x14ac:dyDescent="0.2">
      <c r="K253" s="13">
        <f>+$K$106</f>
        <v>2020</v>
      </c>
      <c r="L253" s="13">
        <f>+$L$106</f>
        <v>2021</v>
      </c>
      <c r="M253" s="13">
        <f>+$M$106</f>
        <v>2022</v>
      </c>
      <c r="N253" s="13">
        <f>+$N$106</f>
        <v>2023</v>
      </c>
      <c r="O253" s="13">
        <f>+$O$106</f>
        <v>2024</v>
      </c>
    </row>
    <row r="254" spans="1:15" ht="12.95" customHeight="1" x14ac:dyDescent="0.2">
      <c r="B254" s="1" t="s">
        <v>95</v>
      </c>
      <c r="K254" s="213">
        <v>0.02</v>
      </c>
      <c r="L254" s="214">
        <f>+K254</f>
        <v>0.02</v>
      </c>
      <c r="M254" s="214">
        <f>+L254</f>
        <v>0.02</v>
      </c>
      <c r="N254" s="214">
        <f>+M254</f>
        <v>0.02</v>
      </c>
      <c r="O254" s="214">
        <f>+N254</f>
        <v>0.02</v>
      </c>
    </row>
    <row r="255" spans="1:15" s="4" customFormat="1" ht="12.95" customHeight="1" x14ac:dyDescent="0.2">
      <c r="K255" s="118"/>
      <c r="L255" s="118"/>
      <c r="M255" s="118"/>
      <c r="N255" s="118"/>
      <c r="O255" s="118"/>
    </row>
    <row r="256" spans="1:15" ht="12.95" customHeight="1" x14ac:dyDescent="0.2">
      <c r="B256" s="2" t="str">
        <f>+B244</f>
        <v>Revolving Credit Facility</v>
      </c>
      <c r="C256" s="3"/>
      <c r="D256" s="3"/>
      <c r="E256" s="3"/>
      <c r="F256" s="3"/>
      <c r="G256" s="3"/>
      <c r="H256" s="3"/>
      <c r="I256" s="3"/>
      <c r="J256" s="3"/>
      <c r="K256" s="4"/>
      <c r="L256" s="3"/>
      <c r="M256" s="3"/>
      <c r="N256" s="3"/>
      <c r="O256" s="3"/>
    </row>
    <row r="257" spans="2:15" ht="12.95" customHeight="1" x14ac:dyDescent="0.2">
      <c r="B257" s="4" t="s">
        <v>93</v>
      </c>
      <c r="C257" s="4"/>
      <c r="D257" s="4"/>
      <c r="E257" s="4"/>
      <c r="F257" s="4"/>
      <c r="G257" s="4"/>
      <c r="H257" s="4"/>
      <c r="I257" s="4"/>
      <c r="J257" s="4"/>
      <c r="K257" s="215">
        <f>+J162</f>
        <v>0</v>
      </c>
      <c r="L257" s="54">
        <f ca="1">+K259</f>
        <v>0</v>
      </c>
      <c r="M257" s="54">
        <f ca="1">+L259</f>
        <v>0</v>
      </c>
      <c r="N257" s="54">
        <f ca="1">+M259</f>
        <v>0</v>
      </c>
      <c r="O257" s="54">
        <f ca="1">+N259</f>
        <v>0</v>
      </c>
    </row>
    <row r="258" spans="2:15" ht="12.95" customHeight="1" x14ac:dyDescent="0.2">
      <c r="B258" s="3" t="s">
        <v>94</v>
      </c>
      <c r="C258" s="3"/>
      <c r="D258" s="3"/>
      <c r="E258" s="3"/>
      <c r="F258" s="3"/>
      <c r="G258" s="3"/>
      <c r="H258" s="3"/>
      <c r="I258" s="3"/>
      <c r="J258" s="3"/>
      <c r="K258" s="66">
        <f ca="1">-MIN(K241,K257)</f>
        <v>0</v>
      </c>
      <c r="L258" s="66">
        <f ca="1">-MIN(L241,L257)</f>
        <v>0</v>
      </c>
      <c r="M258" s="66">
        <f ca="1">-MIN(M241,M257)</f>
        <v>0</v>
      </c>
      <c r="N258" s="66">
        <f ca="1">-MIN(N241,N257)</f>
        <v>0</v>
      </c>
      <c r="O258" s="66">
        <f ca="1">-MIN(O241,O257)</f>
        <v>0</v>
      </c>
    </row>
    <row r="259" spans="2:15" ht="12.95" customHeight="1" x14ac:dyDescent="0.2">
      <c r="B259" s="69" t="s">
        <v>192</v>
      </c>
      <c r="C259" s="69"/>
      <c r="D259" s="69"/>
      <c r="E259" s="69"/>
      <c r="F259" s="69"/>
      <c r="G259" s="69"/>
      <c r="H259" s="69"/>
      <c r="I259" s="69"/>
      <c r="J259" s="69"/>
      <c r="K259" s="71">
        <f ca="1">SUM(K257:K258)</f>
        <v>0</v>
      </c>
      <c r="L259" s="71">
        <f ca="1">SUM(L257:L258)</f>
        <v>0</v>
      </c>
      <c r="M259" s="71">
        <f ca="1">SUM(M257:M258)</f>
        <v>0</v>
      </c>
      <c r="N259" s="71">
        <f ca="1">SUM(N257:N258)</f>
        <v>0</v>
      </c>
      <c r="O259" s="71">
        <f ca="1">SUM(O257:O258)</f>
        <v>0</v>
      </c>
    </row>
    <row r="260" spans="2:15" ht="12.95" customHeight="1" x14ac:dyDescent="0.2">
      <c r="B260" s="69"/>
      <c r="C260" s="69"/>
      <c r="D260" s="69"/>
      <c r="E260" s="69"/>
      <c r="F260" s="69"/>
      <c r="G260" s="69"/>
      <c r="H260" s="69"/>
      <c r="I260" s="69"/>
      <c r="J260" s="69"/>
      <c r="K260" s="69"/>
      <c r="L260" s="69"/>
      <c r="M260" s="69"/>
      <c r="N260" s="69"/>
      <c r="O260" s="69"/>
    </row>
    <row r="261" spans="2:15" s="4" customFormat="1" ht="12.95" customHeight="1" x14ac:dyDescent="0.2">
      <c r="B261" s="4" t="s">
        <v>91</v>
      </c>
      <c r="G261" s="4" t="s">
        <v>138</v>
      </c>
      <c r="I261" s="216">
        <f>+M28</f>
        <v>100</v>
      </c>
      <c r="K261" s="35">
        <f ca="1">+AVERAGE(K257,K259)</f>
        <v>0</v>
      </c>
      <c r="L261" s="35">
        <f ca="1">+AVERAGE(L257,L259)</f>
        <v>0</v>
      </c>
      <c r="M261" s="35">
        <f ca="1">+AVERAGE(M257,M259)</f>
        <v>0</v>
      </c>
      <c r="N261" s="35">
        <f ca="1">+AVERAGE(N257,N259)</f>
        <v>0</v>
      </c>
      <c r="O261" s="35">
        <f ca="1">+AVERAGE(O257,O259)</f>
        <v>0</v>
      </c>
    </row>
    <row r="262" spans="2:15" s="4" customFormat="1" ht="12.95" customHeight="1" x14ac:dyDescent="0.2">
      <c r="B262" s="4" t="s">
        <v>149</v>
      </c>
      <c r="G262" s="4" t="s">
        <v>96</v>
      </c>
      <c r="I262" s="217">
        <v>350</v>
      </c>
      <c r="K262" s="55">
        <f>+K$254+$I$262/10000</f>
        <v>5.5000000000000007E-2</v>
      </c>
      <c r="L262" s="55">
        <f>+L$254+$I$262/10000</f>
        <v>5.5000000000000007E-2</v>
      </c>
      <c r="M262" s="55">
        <f>+M$254+$I$262/10000</f>
        <v>5.5000000000000007E-2</v>
      </c>
      <c r="N262" s="55">
        <f>+N$254+$I$262/10000</f>
        <v>5.5000000000000007E-2</v>
      </c>
      <c r="O262" s="55">
        <f>+O$254+$I$262/10000</f>
        <v>5.5000000000000007E-2</v>
      </c>
    </row>
    <row r="263" spans="2:15" s="4" customFormat="1" ht="12.95" customHeight="1" x14ac:dyDescent="0.2">
      <c r="B263" s="4" t="s">
        <v>21</v>
      </c>
      <c r="K263" s="54">
        <f ca="1">+IF($E$5=1,K261,0)*K262</f>
        <v>0</v>
      </c>
      <c r="L263" s="54">
        <f ca="1">+IF($E$5=1,L261,0)*L262</f>
        <v>0</v>
      </c>
      <c r="M263" s="54">
        <f ca="1">+IF($E$5=1,M261,0)*M262</f>
        <v>0</v>
      </c>
      <c r="N263" s="54">
        <f ca="1">+IF($E$5=1,N261,0)*N262</f>
        <v>0</v>
      </c>
      <c r="O263" s="54">
        <f ca="1">+IF($E$5=1,O261,0)*O262</f>
        <v>0</v>
      </c>
    </row>
    <row r="264" spans="2:15" s="4" customFormat="1" ht="12.95" customHeight="1" x14ac:dyDescent="0.2">
      <c r="B264" s="4" t="s">
        <v>158</v>
      </c>
      <c r="G264" s="4" t="s">
        <v>147</v>
      </c>
      <c r="I264" s="218">
        <v>25</v>
      </c>
      <c r="K264" s="15">
        <f ca="1">+IF($E$5=1,($I$261-K261),0)*$I$264/10000</f>
        <v>0.25</v>
      </c>
      <c r="L264" s="15">
        <f ca="1">+IF($E$5=1,($I$261-L261),0)*$I$264/10000</f>
        <v>0.25</v>
      </c>
      <c r="M264" s="15">
        <f ca="1">+IF($E$5=1,($I$261-M261),0)*$I$264/10000</f>
        <v>0.25</v>
      </c>
      <c r="N264" s="15">
        <f ca="1">+IF($E$5=1,($I$261-N261),0)*$I$264/10000</f>
        <v>0.25</v>
      </c>
      <c r="O264" s="15">
        <f ca="1">+IF($E$5=1,($I$261-O261),0)*$I$264/10000</f>
        <v>0.25</v>
      </c>
    </row>
    <row r="265" spans="2:15" s="4" customFormat="1" ht="12.95" customHeight="1" x14ac:dyDescent="0.2">
      <c r="B265" s="3"/>
      <c r="C265" s="3"/>
      <c r="D265" s="3"/>
      <c r="E265" s="3"/>
      <c r="F265" s="3"/>
      <c r="G265" s="3"/>
      <c r="H265" s="3"/>
      <c r="I265" s="3"/>
      <c r="J265" s="3"/>
      <c r="K265" s="3"/>
      <c r="L265" s="3"/>
      <c r="M265" s="3"/>
      <c r="N265" s="3"/>
      <c r="O265" s="3"/>
    </row>
    <row r="266" spans="2:15" ht="12.95" customHeight="1" outlineLevel="1" x14ac:dyDescent="0.2"/>
    <row r="267" spans="2:15" ht="12.95" customHeight="1" outlineLevel="1" x14ac:dyDescent="0.2">
      <c r="B267" s="1" t="s">
        <v>148</v>
      </c>
      <c r="K267" s="14">
        <f ca="1">+IF(K259&gt;$I$261,1,0)</f>
        <v>0</v>
      </c>
      <c r="L267" s="14">
        <f ca="1">+IF(L259&gt;$I$261,1,0)</f>
        <v>0</v>
      </c>
      <c r="M267" s="14">
        <f ca="1">+IF(M259&gt;$I$261,1,0)</f>
        <v>0</v>
      </c>
      <c r="N267" s="14">
        <f ca="1">+IF(N259&gt;$I$261,1,0)</f>
        <v>0</v>
      </c>
      <c r="O267" s="14">
        <f ca="1">+IF(O259&gt;$I$261,1,0)</f>
        <v>0</v>
      </c>
    </row>
    <row r="269" spans="2:15" s="4" customFormat="1" ht="12.95" customHeight="1" x14ac:dyDescent="0.2">
      <c r="B269" s="2" t="str">
        <f>+B245</f>
        <v>First Lien Term Loan</v>
      </c>
      <c r="C269" s="2"/>
      <c r="D269" s="2"/>
      <c r="E269" s="2"/>
      <c r="F269" s="2"/>
      <c r="G269" s="2"/>
      <c r="H269" s="3"/>
      <c r="I269" s="2"/>
      <c r="J269" s="2"/>
      <c r="K269" s="2"/>
      <c r="L269" s="2"/>
      <c r="M269" s="2"/>
      <c r="N269" s="2"/>
      <c r="O269" s="2"/>
    </row>
    <row r="270" spans="2:15" s="4" customFormat="1" ht="12.95" customHeight="1" x14ac:dyDescent="0.2">
      <c r="B270" s="4" t="s">
        <v>93</v>
      </c>
      <c r="K270" s="215">
        <f>+J163</f>
        <v>389.37333999999987</v>
      </c>
      <c r="L270" s="54">
        <f ca="1">+K273</f>
        <v>313.68842044632839</v>
      </c>
      <c r="M270" s="54">
        <f ca="1">+L273</f>
        <v>225.91463196192365</v>
      </c>
      <c r="N270" s="54">
        <f ca="1">+M273</f>
        <v>120.88850915452724</v>
      </c>
      <c r="O270" s="54">
        <f ca="1">+N273</f>
        <v>0</v>
      </c>
    </row>
    <row r="271" spans="2:15" s="4" customFormat="1" ht="12.95" customHeight="1" x14ac:dyDescent="0.2">
      <c r="B271" s="33" t="s">
        <v>92</v>
      </c>
      <c r="G271" s="4" t="s">
        <v>97</v>
      </c>
      <c r="I271" s="219">
        <v>0.02</v>
      </c>
      <c r="K271" s="35">
        <f>-MIN($K$270*$I$271,K270)</f>
        <v>-7.787466799999998</v>
      </c>
      <c r="L271" s="35">
        <f ca="1">-MIN($K$270*$I$271,L270)</f>
        <v>-7.787466799999998</v>
      </c>
      <c r="M271" s="35">
        <f ca="1">-MIN($K$270*$I$271,M270)</f>
        <v>-7.787466799999998</v>
      </c>
      <c r="N271" s="35">
        <f ca="1">-MIN($K$270*$I$271,N270)</f>
        <v>-7.787466799999998</v>
      </c>
      <c r="O271" s="35">
        <f ca="1">-MIN($K$270*$I$271,O270)</f>
        <v>0</v>
      </c>
    </row>
    <row r="272" spans="2:15" ht="12.95" customHeight="1" x14ac:dyDescent="0.2">
      <c r="B272" s="3" t="s">
        <v>89</v>
      </c>
      <c r="C272" s="3"/>
      <c r="D272" s="3"/>
      <c r="E272" s="3"/>
      <c r="F272" s="3"/>
      <c r="G272" s="3"/>
      <c r="H272" s="3"/>
      <c r="I272" s="3"/>
      <c r="J272" s="3"/>
      <c r="K272" s="66">
        <f ca="1">-MIN(SUM(K270:K271),SUM(K241:K244))</f>
        <v>-67.897452753671487</v>
      </c>
      <c r="L272" s="66">
        <f ca="1">-MIN(SUM(L270:L271),SUM(L241:L244))</f>
        <v>-79.986321684404743</v>
      </c>
      <c r="M272" s="66">
        <f ca="1">-MIN(SUM(M270:M271),SUM(M241:M244))</f>
        <v>-97.238656007396401</v>
      </c>
      <c r="N272" s="66">
        <f ca="1">-MIN(SUM(N270:N271),SUM(N241:N244))</f>
        <v>-113.10104235452724</v>
      </c>
      <c r="O272" s="66">
        <f ca="1">-MIN(SUM(O270:O271),SUM(O241:O244))</f>
        <v>0</v>
      </c>
    </row>
    <row r="273" spans="2:15" ht="12.95" customHeight="1" x14ac:dyDescent="0.2">
      <c r="B273" s="69" t="s">
        <v>192</v>
      </c>
      <c r="C273" s="69"/>
      <c r="D273" s="69"/>
      <c r="E273" s="69"/>
      <c r="F273" s="69"/>
      <c r="G273" s="69"/>
      <c r="H273" s="4"/>
      <c r="I273" s="69"/>
      <c r="J273" s="69"/>
      <c r="K273" s="71">
        <f ca="1">SUM(K270:K272)</f>
        <v>313.68842044632839</v>
      </c>
      <c r="L273" s="71">
        <f ca="1">SUM(L270:L272)</f>
        <v>225.91463196192365</v>
      </c>
      <c r="M273" s="71">
        <f ca="1">SUM(M270:M272)</f>
        <v>120.88850915452724</v>
      </c>
      <c r="N273" s="71">
        <f ca="1">SUM(N270:N272)</f>
        <v>0</v>
      </c>
      <c r="O273" s="71">
        <f ca="1">SUM(O270:O272)</f>
        <v>0</v>
      </c>
    </row>
    <row r="274" spans="2:15" ht="12.95" customHeight="1" x14ac:dyDescent="0.2">
      <c r="B274" s="69"/>
      <c r="C274" s="69"/>
      <c r="D274" s="69"/>
      <c r="E274" s="69"/>
      <c r="F274" s="69"/>
      <c r="G274" s="69"/>
      <c r="H274" s="4"/>
      <c r="I274" s="69"/>
      <c r="J274" s="69"/>
      <c r="K274" s="69"/>
      <c r="L274" s="69"/>
      <c r="M274" s="69"/>
      <c r="N274" s="69"/>
      <c r="O274" s="69"/>
    </row>
    <row r="275" spans="2:15" ht="12.95" customHeight="1" x14ac:dyDescent="0.2">
      <c r="B275" s="1" t="s">
        <v>91</v>
      </c>
      <c r="K275" s="16">
        <f ca="1">+AVERAGE(K270,K273)</f>
        <v>351.5308802231641</v>
      </c>
      <c r="L275" s="16">
        <f ca="1">+AVERAGE(L270,L273)</f>
        <v>269.80152620412605</v>
      </c>
      <c r="M275" s="16">
        <f ca="1">+AVERAGE(M270,M273)</f>
        <v>173.40157055822544</v>
      </c>
      <c r="N275" s="16">
        <f ca="1">+AVERAGE(N270,N273)</f>
        <v>60.444254577263621</v>
      </c>
      <c r="O275" s="16">
        <f ca="1">+AVERAGE(O270,O273)</f>
        <v>0</v>
      </c>
    </row>
    <row r="276" spans="2:15" ht="12.95" customHeight="1" x14ac:dyDescent="0.2">
      <c r="B276" s="1" t="s">
        <v>149</v>
      </c>
      <c r="G276" s="4" t="s">
        <v>96</v>
      </c>
      <c r="I276" s="218">
        <v>350</v>
      </c>
      <c r="K276" s="55">
        <f>+K$254+$I$276/10000</f>
        <v>5.5000000000000007E-2</v>
      </c>
      <c r="L276" s="55">
        <f>+L$254+$I$276/10000</f>
        <v>5.5000000000000007E-2</v>
      </c>
      <c r="M276" s="55">
        <f>+M$254+$I$276/10000</f>
        <v>5.5000000000000007E-2</v>
      </c>
      <c r="N276" s="55">
        <f>+N$254+$I$276/10000</f>
        <v>5.5000000000000007E-2</v>
      </c>
      <c r="O276" s="55">
        <f>+O$254+$I$276/10000</f>
        <v>5.5000000000000007E-2</v>
      </c>
    </row>
    <row r="277" spans="2:15" s="4" customFormat="1" ht="12.95" customHeight="1" x14ac:dyDescent="0.2">
      <c r="B277" s="4" t="s">
        <v>21</v>
      </c>
      <c r="K277" s="54">
        <f ca="1">+IF($E$5=1,K275,0)*K276</f>
        <v>19.334198412274027</v>
      </c>
      <c r="L277" s="54">
        <f ca="1">+IF($E$5=1,L275,0)*L276</f>
        <v>14.839083941226935</v>
      </c>
      <c r="M277" s="54">
        <f ca="1">+IF($E$5=1,M275,0)*M276</f>
        <v>9.5370863807024016</v>
      </c>
      <c r="N277" s="54">
        <f ca="1">+IF($E$5=1,N275,0)*N276</f>
        <v>3.3244340017494998</v>
      </c>
      <c r="O277" s="54">
        <f ca="1">+IF($E$5=1,O275,0)*O276</f>
        <v>0</v>
      </c>
    </row>
    <row r="278" spans="2:15" s="4" customFormat="1" ht="12.95" customHeight="1" x14ac:dyDescent="0.2">
      <c r="B278" s="3"/>
      <c r="C278" s="3"/>
      <c r="D278" s="3"/>
      <c r="E278" s="3"/>
      <c r="F278" s="3"/>
      <c r="G278" s="3"/>
      <c r="H278" s="3"/>
      <c r="I278" s="3"/>
      <c r="J278" s="3"/>
      <c r="K278" s="3"/>
      <c r="L278" s="3"/>
      <c r="M278" s="3"/>
      <c r="N278" s="3"/>
      <c r="O278" s="3"/>
    </row>
    <row r="280" spans="2:15" s="4" customFormat="1" ht="12.95" customHeight="1" x14ac:dyDescent="0.2">
      <c r="B280" s="2" t="str">
        <f>+B246</f>
        <v>Second Lien Term Loan</v>
      </c>
      <c r="C280" s="2"/>
      <c r="D280" s="2"/>
      <c r="E280" s="2"/>
      <c r="F280" s="2"/>
      <c r="G280" s="2"/>
      <c r="H280" s="3"/>
      <c r="I280" s="2"/>
      <c r="J280" s="2"/>
      <c r="K280" s="2"/>
      <c r="L280" s="2"/>
      <c r="M280" s="2"/>
      <c r="N280" s="2"/>
      <c r="O280" s="2"/>
    </row>
    <row r="281" spans="2:15" s="4" customFormat="1" ht="12.95" customHeight="1" x14ac:dyDescent="0.2">
      <c r="B281" s="4" t="s">
        <v>93</v>
      </c>
      <c r="K281" s="220">
        <f>+J164</f>
        <v>194.68666999999994</v>
      </c>
      <c r="L281" s="54">
        <f ca="1">+K284</f>
        <v>210.91055916666659</v>
      </c>
      <c r="M281" s="54">
        <f t="shared" ref="M281:O281" ca="1" si="55">+L284</f>
        <v>228.48643909722213</v>
      </c>
      <c r="N281" s="54">
        <f t="shared" ca="1" si="55"/>
        <v>247.5269756886573</v>
      </c>
      <c r="O281" s="54">
        <f t="shared" ca="1" si="55"/>
        <v>264.78033587676589</v>
      </c>
    </row>
    <row r="282" spans="2:15" s="4" customFormat="1" ht="12.95" customHeight="1" x14ac:dyDescent="0.2">
      <c r="B282" s="4" t="s">
        <v>109</v>
      </c>
      <c r="K282" s="222">
        <f ca="1">+IF($E$5=1,K286,0)*K287*$I$286</f>
        <v>16.223889166666662</v>
      </c>
      <c r="L282" s="62">
        <f ca="1">+IF($E$5=1,L286,0)*L287*$I$286</f>
        <v>17.575879930555548</v>
      </c>
      <c r="M282" s="62">
        <f ca="1">+IF($E$5=1,M286,0)*M287*$I$286</f>
        <v>19.040536591435178</v>
      </c>
      <c r="N282" s="62">
        <f ca="1">+IF($E$5=1,N286,0)*N287*$I$286</f>
        <v>20.49229246261693</v>
      </c>
      <c r="O282" s="62">
        <f ca="1">+IF($E$5=1,O286,0)*O287*$I$286</f>
        <v>16.195162976154954</v>
      </c>
    </row>
    <row r="283" spans="2:15" s="4" customFormat="1" ht="12.95" customHeight="1" x14ac:dyDescent="0.2">
      <c r="B283" s="3" t="s">
        <v>89</v>
      </c>
      <c r="C283" s="3"/>
      <c r="D283" s="3"/>
      <c r="E283" s="3"/>
      <c r="F283" s="3"/>
      <c r="G283" s="3"/>
      <c r="H283" s="3"/>
      <c r="I283" s="3"/>
      <c r="J283" s="3"/>
      <c r="K283" s="66">
        <f ca="1">-MIN(SUM(K281:K282),SUM(K241:K245))</f>
        <v>0</v>
      </c>
      <c r="L283" s="66">
        <f ca="1">-MIN(SUM(L281:L282),SUM(L241:L245))</f>
        <v>0</v>
      </c>
      <c r="M283" s="66">
        <f ca="1">-MIN(SUM(M281:M282),SUM(M241:M245))</f>
        <v>0</v>
      </c>
      <c r="N283" s="66">
        <f ca="1">-MIN(SUM(N281:N282),SUM(N241:N245))</f>
        <v>-3.2389322745083291</v>
      </c>
      <c r="O283" s="66">
        <f ca="1">-MIN(SUM(O281:O282),SUM(O241:O245))</f>
        <v>-140.87676032581294</v>
      </c>
    </row>
    <row r="284" spans="2:15" s="4" customFormat="1" ht="12.95" customHeight="1" x14ac:dyDescent="0.2">
      <c r="B284" s="69" t="s">
        <v>192</v>
      </c>
      <c r="C284" s="69"/>
      <c r="D284" s="69"/>
      <c r="E284" s="69"/>
      <c r="F284" s="69"/>
      <c r="G284" s="69"/>
      <c r="I284" s="69"/>
      <c r="J284" s="69"/>
      <c r="K284" s="71">
        <f ca="1">SUM(K281:K283)</f>
        <v>210.91055916666659</v>
      </c>
      <c r="L284" s="71">
        <f ca="1">SUM(L281:L283)</f>
        <v>228.48643909722213</v>
      </c>
      <c r="M284" s="71">
        <f ca="1">SUM(M281:M283)</f>
        <v>247.5269756886573</v>
      </c>
      <c r="N284" s="71">
        <f ca="1">SUM(N281:N283)</f>
        <v>264.78033587676589</v>
      </c>
      <c r="O284" s="71">
        <f ca="1">SUM(O281:O283)</f>
        <v>140.09873852710791</v>
      </c>
    </row>
    <row r="285" spans="2:15" ht="12.95" customHeight="1" x14ac:dyDescent="0.2">
      <c r="B285" s="69"/>
      <c r="C285" s="69"/>
      <c r="D285" s="69"/>
      <c r="E285" s="69"/>
      <c r="F285" s="69"/>
      <c r="G285" s="69"/>
      <c r="H285" s="4"/>
      <c r="I285" s="69"/>
      <c r="J285" s="69"/>
      <c r="K285" s="154"/>
      <c r="L285" s="154"/>
      <c r="M285" s="154"/>
      <c r="N285" s="154"/>
      <c r="O285" s="154"/>
    </row>
    <row r="286" spans="2:15" ht="12.95" customHeight="1" x14ac:dyDescent="0.2">
      <c r="B286" s="1" t="s">
        <v>91</v>
      </c>
      <c r="G286" s="1" t="s">
        <v>110</v>
      </c>
      <c r="I286" s="223">
        <v>1</v>
      </c>
      <c r="K286" s="16">
        <f ca="1">+AVERAGE(K281,K284)</f>
        <v>202.79861458333326</v>
      </c>
      <c r="L286" s="16">
        <f ca="1">+AVERAGE(L281,L284)</f>
        <v>219.69849913194435</v>
      </c>
      <c r="M286" s="16">
        <f ca="1">+AVERAGE(M281,M284)</f>
        <v>238.00670739293972</v>
      </c>
      <c r="N286" s="16">
        <f ca="1">+AVERAGE(N281,N284)</f>
        <v>256.15365578271161</v>
      </c>
      <c r="O286" s="16">
        <f ca="1">+AVERAGE(O281,O284)</f>
        <v>202.4395372019369</v>
      </c>
    </row>
    <row r="287" spans="2:15" ht="12.95" customHeight="1" x14ac:dyDescent="0.2">
      <c r="B287" s="1" t="s">
        <v>149</v>
      </c>
      <c r="G287" s="4" t="s">
        <v>96</v>
      </c>
      <c r="I287" s="217">
        <v>600</v>
      </c>
      <c r="K287" s="55">
        <f>+K$254+$I$287/10000</f>
        <v>0.08</v>
      </c>
      <c r="L287" s="55">
        <f>+L$254+$I$287/10000</f>
        <v>0.08</v>
      </c>
      <c r="M287" s="55">
        <f>+M$254+$I$287/10000</f>
        <v>0.08</v>
      </c>
      <c r="N287" s="55">
        <f>+N$254+$I$287/10000</f>
        <v>0.08</v>
      </c>
      <c r="O287" s="55">
        <f>+O$254+$I$287/10000</f>
        <v>0.08</v>
      </c>
    </row>
    <row r="288" spans="2:15" s="4" customFormat="1" ht="12.95" customHeight="1" x14ac:dyDescent="0.2">
      <c r="B288" s="4" t="s">
        <v>21</v>
      </c>
      <c r="K288" s="54">
        <f ca="1">+IF($E$5=1,K286,0)*K287*(1-$I$286)</f>
        <v>0</v>
      </c>
      <c r="L288" s="54">
        <f ca="1">+IF($E$5=1,L286,0)*L287*(1-$I$286)</f>
        <v>0</v>
      </c>
      <c r="M288" s="54">
        <f ca="1">+IF($E$5=1,M286,0)*M287*(1-$I$286)</f>
        <v>0</v>
      </c>
      <c r="N288" s="54">
        <f ca="1">+IF($E$5=1,N286,0)*N287*(1-$I$286)</f>
        <v>0</v>
      </c>
      <c r="O288" s="54">
        <f ca="1">+IF($E$5=1,O286,0)*O287*(1-$I$286)</f>
        <v>0</v>
      </c>
    </row>
    <row r="289" spans="1:15" s="4" customFormat="1" ht="12.95" customHeight="1" x14ac:dyDescent="0.2">
      <c r="B289" s="3"/>
      <c r="C289" s="3"/>
      <c r="D289" s="3"/>
      <c r="E289" s="3"/>
      <c r="F289" s="3"/>
      <c r="G289" s="3"/>
      <c r="H289" s="3"/>
      <c r="I289" s="3"/>
      <c r="J289" s="3"/>
      <c r="K289" s="3"/>
      <c r="L289" s="3"/>
      <c r="M289" s="3"/>
      <c r="N289" s="3"/>
      <c r="O289" s="3"/>
    </row>
    <row r="291" spans="1:15" s="4" customFormat="1" ht="12.95" customHeight="1" x14ac:dyDescent="0.2">
      <c r="B291" s="2" t="str">
        <f>+B247</f>
        <v>Notes</v>
      </c>
      <c r="C291" s="2"/>
      <c r="D291" s="2"/>
      <c r="E291" s="2"/>
      <c r="F291" s="2"/>
      <c r="G291" s="2"/>
      <c r="H291" s="3"/>
      <c r="I291" s="2"/>
      <c r="J291" s="2"/>
      <c r="K291" s="2"/>
      <c r="L291" s="2"/>
      <c r="M291" s="2"/>
      <c r="N291" s="2"/>
      <c r="O291" s="2"/>
    </row>
    <row r="292" spans="1:15" s="4" customFormat="1" ht="12.95" customHeight="1" x14ac:dyDescent="0.2">
      <c r="B292" s="4" t="s">
        <v>93</v>
      </c>
      <c r="K292" s="215">
        <f>+J165</f>
        <v>486.71667499999984</v>
      </c>
      <c r="L292" s="54">
        <f ca="1">+K294</f>
        <v>486.71667499999984</v>
      </c>
      <c r="M292" s="54">
        <f ca="1">+L294</f>
        <v>486.71667499999984</v>
      </c>
      <c r="N292" s="54">
        <f ca="1">+M294</f>
        <v>486.71667499999984</v>
      </c>
      <c r="O292" s="54">
        <f ca="1">+N294</f>
        <v>486.71667499999984</v>
      </c>
    </row>
    <row r="293" spans="1:15" ht="12.95" customHeight="1" x14ac:dyDescent="0.2">
      <c r="B293" s="3" t="s">
        <v>98</v>
      </c>
      <c r="C293" s="3"/>
      <c r="D293" s="3"/>
      <c r="E293" s="3"/>
      <c r="F293" s="3"/>
      <c r="G293" s="3" t="s">
        <v>99</v>
      </c>
      <c r="H293" s="133"/>
      <c r="I293" s="224">
        <v>2026</v>
      </c>
      <c r="J293" s="3"/>
      <c r="K293" s="66">
        <f ca="1">-MIN(K292,SUM(K241:K246))*IF($I$293=K$253,1,0)</f>
        <v>0</v>
      </c>
      <c r="L293" s="66">
        <f t="shared" ref="L293:O293" ca="1" si="56">-MIN(L292,SUM(L241:L246))*IF($I$293=L$253,1,0)</f>
        <v>0</v>
      </c>
      <c r="M293" s="66">
        <f t="shared" ca="1" si="56"/>
        <v>0</v>
      </c>
      <c r="N293" s="66">
        <f t="shared" ca="1" si="56"/>
        <v>0</v>
      </c>
      <c r="O293" s="66">
        <f t="shared" ca="1" si="56"/>
        <v>0</v>
      </c>
    </row>
    <row r="294" spans="1:15" ht="12.95" customHeight="1" x14ac:dyDescent="0.2">
      <c r="B294" s="69" t="s">
        <v>192</v>
      </c>
      <c r="C294" s="69"/>
      <c r="D294" s="69"/>
      <c r="E294" s="69"/>
      <c r="F294" s="69"/>
      <c r="G294" s="69"/>
      <c r="H294" s="4"/>
      <c r="I294" s="69"/>
      <c r="J294" s="69"/>
      <c r="K294" s="71">
        <f ca="1">SUM(K292:K293)</f>
        <v>486.71667499999984</v>
      </c>
      <c r="L294" s="71">
        <f ca="1">SUM(L292:L293)</f>
        <v>486.71667499999984</v>
      </c>
      <c r="M294" s="71">
        <f ca="1">SUM(M292:M293)</f>
        <v>486.71667499999984</v>
      </c>
      <c r="N294" s="71">
        <f ca="1">SUM(N292:N293)</f>
        <v>486.71667499999984</v>
      </c>
      <c r="O294" s="71">
        <f ca="1">SUM(O292:O293)</f>
        <v>486.71667499999984</v>
      </c>
    </row>
    <row r="295" spans="1:15" ht="12.95" customHeight="1" x14ac:dyDescent="0.2">
      <c r="B295" s="69"/>
      <c r="C295" s="69"/>
      <c r="D295" s="69"/>
      <c r="E295" s="69"/>
      <c r="F295" s="69"/>
      <c r="G295" s="69"/>
      <c r="H295" s="4"/>
      <c r="I295" s="69"/>
      <c r="J295" s="69"/>
      <c r="K295" s="69"/>
      <c r="L295" s="69"/>
      <c r="M295" s="69"/>
      <c r="N295" s="69"/>
      <c r="O295" s="69"/>
    </row>
    <row r="296" spans="1:15" ht="12.95" customHeight="1" x14ac:dyDescent="0.2">
      <c r="B296" s="1" t="s">
        <v>91</v>
      </c>
      <c r="K296" s="16">
        <f ca="1">+AVERAGE(K292,K294)</f>
        <v>486.71667499999984</v>
      </c>
      <c r="L296" s="16">
        <f ca="1">+AVERAGE(L292,L294)</f>
        <v>486.71667499999984</v>
      </c>
      <c r="M296" s="16">
        <f ca="1">+AVERAGE(M292,M294)</f>
        <v>486.71667499999984</v>
      </c>
      <c r="N296" s="16">
        <f ca="1">+AVERAGE(N292,N294)</f>
        <v>486.71667499999984</v>
      </c>
      <c r="O296" s="16">
        <f ca="1">+AVERAGE(O292,O294)</f>
        <v>486.71667499999984</v>
      </c>
    </row>
    <row r="297" spans="1:15" s="4" customFormat="1" ht="12.95" customHeight="1" x14ac:dyDescent="0.2">
      <c r="B297" s="4" t="s">
        <v>21</v>
      </c>
      <c r="G297" s="4" t="s">
        <v>111</v>
      </c>
      <c r="I297" s="225">
        <v>0.1</v>
      </c>
      <c r="K297" s="54">
        <f ca="1">+IF($E$5=1,K296,0)*$I$297</f>
        <v>48.671667499999984</v>
      </c>
      <c r="L297" s="54">
        <f ca="1">+IF($E$5=1,L296,0)*$I$297</f>
        <v>48.671667499999984</v>
      </c>
      <c r="M297" s="54">
        <f ca="1">+IF($E$5=1,M296,0)*$I$297</f>
        <v>48.671667499999984</v>
      </c>
      <c r="N297" s="54">
        <f ca="1">+IF($E$5=1,N296,0)*$I$297</f>
        <v>48.671667499999984</v>
      </c>
      <c r="O297" s="54">
        <f ca="1">+IF($E$5=1,O296,0)*$I$297</f>
        <v>48.671667499999984</v>
      </c>
    </row>
    <row r="298" spans="1:15" s="4" customFormat="1" ht="12.95" customHeight="1" x14ac:dyDescent="0.2">
      <c r="B298" s="3"/>
      <c r="C298" s="3"/>
      <c r="D298" s="3"/>
      <c r="E298" s="3"/>
      <c r="F298" s="3"/>
      <c r="G298" s="3"/>
      <c r="H298" s="3"/>
      <c r="I298" s="3"/>
      <c r="J298" s="3"/>
      <c r="K298" s="3"/>
      <c r="L298" s="3"/>
      <c r="M298" s="3"/>
      <c r="N298" s="3"/>
      <c r="O298" s="3"/>
    </row>
    <row r="300" spans="1:15" ht="12.95" customHeight="1" x14ac:dyDescent="0.2">
      <c r="A300" s="1" t="s">
        <v>39</v>
      </c>
      <c r="B300" s="50" t="s">
        <v>100</v>
      </c>
      <c r="C300" s="51"/>
      <c r="D300" s="51"/>
      <c r="E300" s="51"/>
      <c r="F300" s="51"/>
      <c r="G300" s="51"/>
      <c r="H300" s="51"/>
      <c r="I300" s="51"/>
      <c r="J300" s="51"/>
      <c r="K300" s="51"/>
      <c r="L300" s="51"/>
      <c r="M300" s="51"/>
      <c r="N300" s="51"/>
      <c r="O300" s="73"/>
    </row>
    <row r="302" spans="1:15" ht="12.95" customHeight="1" x14ac:dyDescent="0.35">
      <c r="K302" s="10" t="str">
        <f>+$K$34</f>
        <v>Fiscal Year Ended 12/31</v>
      </c>
      <c r="L302" s="206"/>
      <c r="M302" s="206"/>
      <c r="N302" s="206"/>
      <c r="O302" s="206"/>
    </row>
    <row r="303" spans="1:15" ht="12.95" customHeight="1" x14ac:dyDescent="0.2">
      <c r="K303" s="13">
        <f>+$K$106</f>
        <v>2020</v>
      </c>
      <c r="L303" s="13">
        <f>+$L$106</f>
        <v>2021</v>
      </c>
      <c r="M303" s="13">
        <f>+$M$106</f>
        <v>2022</v>
      </c>
      <c r="N303" s="13">
        <f>+$N$106</f>
        <v>2023</v>
      </c>
      <c r="O303" s="13">
        <f>+$O$106</f>
        <v>2024</v>
      </c>
    </row>
    <row r="304" spans="1:15" s="4" customFormat="1" ht="12.95" customHeight="1" x14ac:dyDescent="0.2">
      <c r="B304" s="4" t="s">
        <v>93</v>
      </c>
      <c r="K304" s="54">
        <f>+J142</f>
        <v>0</v>
      </c>
      <c r="L304" s="54">
        <f ca="1">+K142</f>
        <v>5</v>
      </c>
      <c r="M304" s="54">
        <f ca="1">+L142</f>
        <v>5</v>
      </c>
      <c r="N304" s="54">
        <f ca="1">+M142</f>
        <v>5</v>
      </c>
      <c r="O304" s="54">
        <f ca="1">+N142</f>
        <v>5</v>
      </c>
    </row>
    <row r="305" spans="2:15" s="4" customFormat="1" ht="12.95" customHeight="1" x14ac:dyDescent="0.2">
      <c r="B305" s="3" t="s">
        <v>106</v>
      </c>
      <c r="C305" s="3"/>
      <c r="D305" s="3"/>
      <c r="E305" s="3"/>
      <c r="F305" s="3"/>
      <c r="G305" s="3"/>
      <c r="H305" s="3"/>
      <c r="I305" s="3"/>
      <c r="J305" s="3"/>
      <c r="K305" s="66">
        <f ca="1">+K306-K304</f>
        <v>5</v>
      </c>
      <c r="L305" s="66">
        <f ca="1">+L306-L304</f>
        <v>0</v>
      </c>
      <c r="M305" s="66">
        <f ca="1">+M306-M304</f>
        <v>0</v>
      </c>
      <c r="N305" s="66">
        <f ca="1">+N306-N304</f>
        <v>0</v>
      </c>
      <c r="O305" s="66">
        <f ca="1">+O306-O304</f>
        <v>0</v>
      </c>
    </row>
    <row r="306" spans="2:15" s="69" customFormat="1" ht="12.95" customHeight="1" x14ac:dyDescent="0.2">
      <c r="B306" s="69" t="s">
        <v>192</v>
      </c>
      <c r="K306" s="71">
        <f ca="1">+K142</f>
        <v>5</v>
      </c>
      <c r="L306" s="71">
        <f ca="1">+L142</f>
        <v>5</v>
      </c>
      <c r="M306" s="71">
        <f ca="1">+M142</f>
        <v>5</v>
      </c>
      <c r="N306" s="71">
        <f ca="1">+N142</f>
        <v>5</v>
      </c>
      <c r="O306" s="71">
        <f ca="1">+O142</f>
        <v>5</v>
      </c>
    </row>
    <row r="307" spans="2:15" s="4" customFormat="1" ht="12.95" customHeight="1" x14ac:dyDescent="0.2"/>
    <row r="308" spans="2:15" ht="12.95" customHeight="1" x14ac:dyDescent="0.2">
      <c r="B308" s="4" t="s">
        <v>91</v>
      </c>
      <c r="C308" s="4"/>
      <c r="D308" s="4"/>
      <c r="E308" s="4"/>
      <c r="F308" s="4"/>
      <c r="G308" s="4"/>
      <c r="H308" s="4"/>
      <c r="I308" s="4"/>
      <c r="J308" s="4"/>
      <c r="K308" s="35">
        <f ca="1">+AVERAGE(K304,K306)</f>
        <v>2.5</v>
      </c>
      <c r="L308" s="35">
        <f ca="1">+AVERAGE(L304,L306)</f>
        <v>5</v>
      </c>
      <c r="M308" s="35">
        <f ca="1">+AVERAGE(M304,M306)</f>
        <v>5</v>
      </c>
      <c r="N308" s="35">
        <f ca="1">+AVERAGE(N304,N306)</f>
        <v>5</v>
      </c>
      <c r="O308" s="35">
        <f ca="1">+AVERAGE(O304,O306)</f>
        <v>5</v>
      </c>
    </row>
    <row r="309" spans="2:15" ht="12.95" customHeight="1" x14ac:dyDescent="0.2">
      <c r="B309" s="1" t="s">
        <v>107</v>
      </c>
      <c r="G309" s="85" t="s">
        <v>193</v>
      </c>
      <c r="H309" s="4"/>
      <c r="I309" s="225">
        <v>0.01</v>
      </c>
      <c r="K309" s="15">
        <f ca="1">+IF($E$5=1,K308,0)*$I$309</f>
        <v>2.5000000000000001E-2</v>
      </c>
      <c r="L309" s="15">
        <f ca="1">+IF($E$5=1,L308,0)*$I$309</f>
        <v>0.05</v>
      </c>
      <c r="M309" s="15">
        <f ca="1">+IF($E$5=1,M308,0)*$I$309</f>
        <v>0.05</v>
      </c>
      <c r="N309" s="15">
        <f ca="1">+IF($E$5=1,N308,0)*$I$309</f>
        <v>0.05</v>
      </c>
      <c r="O309" s="15">
        <f ca="1">+IF($E$5=1,O308,0)*$I$309</f>
        <v>0.05</v>
      </c>
    </row>
    <row r="310" spans="2:15" s="4" customFormat="1" ht="12.95" customHeight="1" x14ac:dyDescent="0.2">
      <c r="B310" s="3"/>
      <c r="C310" s="3"/>
      <c r="D310" s="3"/>
      <c r="E310" s="3"/>
      <c r="F310" s="3"/>
      <c r="G310" s="3"/>
      <c r="H310" s="3"/>
      <c r="I310" s="3"/>
      <c r="J310" s="3"/>
      <c r="K310" s="3"/>
      <c r="L310" s="3"/>
      <c r="M310" s="3"/>
      <c r="N310" s="3"/>
      <c r="O310" s="3"/>
    </row>
    <row r="312" spans="2:15" ht="12.95" customHeight="1" x14ac:dyDescent="0.2">
      <c r="B312" s="1" t="s">
        <v>197</v>
      </c>
    </row>
    <row r="313" spans="2:15" ht="12.95" customHeight="1" x14ac:dyDescent="0.2">
      <c r="B313" s="1" t="str">
        <f>+B256&amp;" - Commitment Fee"</f>
        <v>Revolving Credit Facility - Commitment Fee</v>
      </c>
      <c r="K313" s="15">
        <f ca="1">+K264</f>
        <v>0.25</v>
      </c>
      <c r="L313" s="15">
        <f ca="1">+L264</f>
        <v>0.25</v>
      </c>
      <c r="M313" s="15">
        <f ca="1">+M264</f>
        <v>0.25</v>
      </c>
      <c r="N313" s="15">
        <f ca="1">+N264</f>
        <v>0.25</v>
      </c>
      <c r="O313" s="15">
        <f ca="1">+O264</f>
        <v>0.25</v>
      </c>
    </row>
    <row r="314" spans="2:15" ht="12.95" customHeight="1" x14ac:dyDescent="0.2">
      <c r="B314" s="1" t="str">
        <f>+B256&amp;" - Drawn Interest Expense"</f>
        <v>Revolving Credit Facility - Drawn Interest Expense</v>
      </c>
      <c r="K314" s="16">
        <f ca="1">+K263</f>
        <v>0</v>
      </c>
      <c r="L314" s="16">
        <f ca="1">+L263</f>
        <v>0</v>
      </c>
      <c r="M314" s="16">
        <f ca="1">+M263</f>
        <v>0</v>
      </c>
      <c r="N314" s="16">
        <f ca="1">+N263</f>
        <v>0</v>
      </c>
      <c r="O314" s="16">
        <f ca="1">+O263</f>
        <v>0</v>
      </c>
    </row>
    <row r="315" spans="2:15" ht="12.95" customHeight="1" x14ac:dyDescent="0.2">
      <c r="B315" s="1" t="str">
        <f>+B269</f>
        <v>First Lien Term Loan</v>
      </c>
      <c r="K315" s="16">
        <f ca="1">+K277</f>
        <v>19.334198412274027</v>
      </c>
      <c r="L315" s="16">
        <f ca="1">+L277</f>
        <v>14.839083941226935</v>
      </c>
      <c r="M315" s="16">
        <f ca="1">+M277</f>
        <v>9.5370863807024016</v>
      </c>
      <c r="N315" s="16">
        <f ca="1">+N277</f>
        <v>3.3244340017494998</v>
      </c>
      <c r="O315" s="16">
        <f ca="1">+O277</f>
        <v>0</v>
      </c>
    </row>
    <row r="316" spans="2:15" ht="12.95" customHeight="1" x14ac:dyDescent="0.2">
      <c r="B316" s="1" t="str">
        <f>+B280</f>
        <v>Second Lien Term Loan</v>
      </c>
      <c r="K316" s="16">
        <f ca="1">+K288</f>
        <v>0</v>
      </c>
      <c r="L316" s="16">
        <f ca="1">+L288</f>
        <v>0</v>
      </c>
      <c r="M316" s="16">
        <f ca="1">+M288</f>
        <v>0</v>
      </c>
      <c r="N316" s="16">
        <f ca="1">+N288</f>
        <v>0</v>
      </c>
      <c r="O316" s="16">
        <f ca="1">+O288</f>
        <v>0</v>
      </c>
    </row>
    <row r="317" spans="2:15" ht="12.95" customHeight="1" x14ac:dyDescent="0.2">
      <c r="B317" s="4" t="str">
        <f>+B291</f>
        <v>Notes</v>
      </c>
      <c r="C317" s="4"/>
      <c r="D317" s="4"/>
      <c r="E317" s="4"/>
      <c r="F317" s="4"/>
      <c r="G317" s="4"/>
      <c r="H317" s="4"/>
      <c r="I317" s="4"/>
      <c r="J317" s="4"/>
      <c r="K317" s="35">
        <f ca="1">+K297</f>
        <v>48.671667499999984</v>
      </c>
      <c r="L317" s="35">
        <f ca="1">+L297</f>
        <v>48.671667499999984</v>
      </c>
      <c r="M317" s="35">
        <f ca="1">+M297</f>
        <v>48.671667499999984</v>
      </c>
      <c r="N317" s="35">
        <f ca="1">+N297</f>
        <v>48.671667499999984</v>
      </c>
      <c r="O317" s="35">
        <f ca="1">+O297</f>
        <v>48.671667499999984</v>
      </c>
    </row>
    <row r="318" spans="2:15" ht="12.95" customHeight="1" x14ac:dyDescent="0.2">
      <c r="B318" s="226" t="s">
        <v>112</v>
      </c>
      <c r="C318" s="226"/>
      <c r="D318" s="226"/>
      <c r="E318" s="226"/>
      <c r="F318" s="226"/>
      <c r="G318" s="226"/>
      <c r="H318" s="226"/>
      <c r="I318" s="226"/>
      <c r="J318" s="226"/>
      <c r="K318" s="37">
        <f ca="1">SUM(K313:K317)</f>
        <v>68.255865912274004</v>
      </c>
      <c r="L318" s="37">
        <f ca="1">SUM(L313:L317)</f>
        <v>63.760751441226915</v>
      </c>
      <c r="M318" s="37">
        <f ca="1">SUM(M313:M317)</f>
        <v>58.458753880702389</v>
      </c>
      <c r="N318" s="37">
        <f ca="1">SUM(N313:N317)</f>
        <v>52.246101501749486</v>
      </c>
      <c r="O318" s="37">
        <f ca="1">SUM(O313:O317)</f>
        <v>48.921667499999984</v>
      </c>
    </row>
    <row r="319" spans="2:15" ht="12.95" customHeight="1" x14ac:dyDescent="0.2">
      <c r="B319" s="3" t="s">
        <v>113</v>
      </c>
      <c r="C319" s="3"/>
      <c r="D319" s="3"/>
      <c r="E319" s="3"/>
      <c r="F319" s="3"/>
      <c r="G319" s="3"/>
      <c r="H319" s="3"/>
      <c r="I319" s="3"/>
      <c r="J319" s="3"/>
      <c r="K319" s="62">
        <f ca="1">+K282</f>
        <v>16.223889166666662</v>
      </c>
      <c r="L319" s="62">
        <f t="shared" ref="L319:O319" ca="1" si="57">+L282</f>
        <v>17.575879930555548</v>
      </c>
      <c r="M319" s="62">
        <f t="shared" ca="1" si="57"/>
        <v>19.040536591435178</v>
      </c>
      <c r="N319" s="62">
        <f t="shared" ca="1" si="57"/>
        <v>20.49229246261693</v>
      </c>
      <c r="O319" s="62">
        <f t="shared" ca="1" si="57"/>
        <v>16.195162976154954</v>
      </c>
    </row>
    <row r="320" spans="2:15" s="76" customFormat="1" ht="12.95" customHeight="1" x14ac:dyDescent="0.2">
      <c r="B320" s="69" t="s">
        <v>108</v>
      </c>
      <c r="C320" s="69"/>
      <c r="D320" s="69"/>
      <c r="E320" s="69"/>
      <c r="F320" s="69"/>
      <c r="G320" s="69"/>
      <c r="H320" s="69"/>
      <c r="I320" s="69"/>
      <c r="J320" s="69"/>
      <c r="K320" s="96">
        <f ca="1">+SUM(K318:K319)</f>
        <v>84.47975507894067</v>
      </c>
      <c r="L320" s="96">
        <f ca="1">+SUM(L318:L319)</f>
        <v>81.33663137178246</v>
      </c>
      <c r="M320" s="96">
        <f ca="1">+SUM(M318:M319)</f>
        <v>77.499290472137574</v>
      </c>
      <c r="N320" s="96">
        <f ca="1">+SUM(N318:N319)</f>
        <v>72.738393964366423</v>
      </c>
      <c r="O320" s="96">
        <f ca="1">+SUM(O318:O319)</f>
        <v>65.116830476154945</v>
      </c>
    </row>
    <row r="322" spans="1:15" ht="12.95" customHeight="1" x14ac:dyDescent="0.2">
      <c r="A322" s="1" t="s">
        <v>39</v>
      </c>
      <c r="B322" s="50" t="s">
        <v>199</v>
      </c>
      <c r="C322" s="51"/>
      <c r="D322" s="51"/>
      <c r="E322" s="51"/>
      <c r="F322" s="51"/>
      <c r="G322" s="51"/>
      <c r="H322" s="51"/>
      <c r="I322" s="51"/>
      <c r="J322" s="51"/>
      <c r="K322" s="51"/>
      <c r="L322" s="51"/>
      <c r="M322" s="51"/>
      <c r="N322" s="51"/>
      <c r="O322" s="73"/>
    </row>
    <row r="324" spans="1:15" ht="12.95" customHeight="1" x14ac:dyDescent="0.35">
      <c r="K324" s="10" t="str">
        <f>+$K$34</f>
        <v>Fiscal Year Ended 12/31</v>
      </c>
      <c r="L324" s="11"/>
      <c r="M324" s="11"/>
      <c r="N324" s="11"/>
      <c r="O324" s="11"/>
    </row>
    <row r="325" spans="1:15" ht="12.95" customHeight="1" x14ac:dyDescent="0.2">
      <c r="K325" s="13">
        <f>+K141</f>
        <v>2020</v>
      </c>
      <c r="L325" s="13">
        <f>+K325+1</f>
        <v>2021</v>
      </c>
      <c r="M325" s="13">
        <f>+L325+1</f>
        <v>2022</v>
      </c>
      <c r="N325" s="13">
        <f>+M325+1</f>
        <v>2023</v>
      </c>
      <c r="O325" s="13">
        <f>+N325+1</f>
        <v>2024</v>
      </c>
    </row>
    <row r="326" spans="1:15" ht="12.95" customHeight="1" x14ac:dyDescent="0.2">
      <c r="B326" s="1" t="s">
        <v>35</v>
      </c>
      <c r="K326" s="54">
        <f>+K123</f>
        <v>211.13616104999991</v>
      </c>
      <c r="L326" s="54">
        <f t="shared" ref="L326:O326" si="58">+L123</f>
        <v>231.22441616399993</v>
      </c>
      <c r="M326" s="54">
        <f t="shared" si="58"/>
        <v>253.09045980481494</v>
      </c>
      <c r="N326" s="54">
        <f t="shared" si="58"/>
        <v>276.88474991614049</v>
      </c>
      <c r="O326" s="54">
        <f t="shared" si="58"/>
        <v>302.770097390008</v>
      </c>
    </row>
    <row r="327" spans="1:15" ht="12.95" customHeight="1" x14ac:dyDescent="0.2">
      <c r="B327" s="4" t="s">
        <v>200</v>
      </c>
      <c r="C327" s="4"/>
      <c r="D327" s="4"/>
      <c r="E327" s="4"/>
      <c r="F327" s="4"/>
      <c r="G327" s="4"/>
      <c r="H327" s="4"/>
      <c r="I327" s="4"/>
      <c r="J327" s="4"/>
      <c r="K327" s="253">
        <f>+$M$21</f>
        <v>10</v>
      </c>
      <c r="L327" s="253">
        <f>+$M$21</f>
        <v>10</v>
      </c>
      <c r="M327" s="253">
        <f>+$M$21</f>
        <v>10</v>
      </c>
      <c r="N327" s="253">
        <f>+$M$21</f>
        <v>10</v>
      </c>
      <c r="O327" s="253">
        <f>+$M$21</f>
        <v>10</v>
      </c>
    </row>
    <row r="328" spans="1:15" ht="12.95" customHeight="1" x14ac:dyDescent="0.2">
      <c r="B328" s="226" t="s">
        <v>201</v>
      </c>
      <c r="C328" s="226"/>
      <c r="D328" s="226"/>
      <c r="E328" s="226"/>
      <c r="F328" s="226"/>
      <c r="G328" s="226"/>
      <c r="H328" s="226"/>
      <c r="I328" s="226"/>
      <c r="J328" s="226"/>
      <c r="K328" s="37">
        <f>+K326*K327</f>
        <v>2111.3616104999992</v>
      </c>
      <c r="L328" s="37">
        <f t="shared" ref="L328:O328" si="59">+L326*L327</f>
        <v>2312.2441616399992</v>
      </c>
      <c r="M328" s="37">
        <f t="shared" si="59"/>
        <v>2530.9045980481496</v>
      </c>
      <c r="N328" s="37">
        <f t="shared" si="59"/>
        <v>2768.8474991614048</v>
      </c>
      <c r="O328" s="37">
        <f t="shared" si="59"/>
        <v>3027.70097390008</v>
      </c>
    </row>
    <row r="329" spans="1:15" ht="12.95" customHeight="1" x14ac:dyDescent="0.2">
      <c r="B329" s="1" t="s">
        <v>202</v>
      </c>
      <c r="K329" s="16">
        <f ca="1">-K166</f>
        <v>-1011.3156546129949</v>
      </c>
      <c r="L329" s="16">
        <f t="shared" ref="L329:O329" ca="1" si="60">-L166</f>
        <v>-941.1177460591457</v>
      </c>
      <c r="M329" s="16">
        <f t="shared" ca="1" si="60"/>
        <v>-855.13215984318435</v>
      </c>
      <c r="N329" s="16">
        <f t="shared" ca="1" si="60"/>
        <v>-751.49701087676567</v>
      </c>
      <c r="O329" s="16">
        <f t="shared" ca="1" si="60"/>
        <v>-626.81541352710769</v>
      </c>
    </row>
    <row r="330" spans="1:15" ht="12.95" customHeight="1" x14ac:dyDescent="0.2">
      <c r="B330" s="4" t="s">
        <v>203</v>
      </c>
      <c r="C330" s="4"/>
      <c r="D330" s="4"/>
      <c r="E330" s="4"/>
      <c r="F330" s="4"/>
      <c r="G330" s="4"/>
      <c r="H330" s="4"/>
      <c r="I330" s="4"/>
      <c r="J330" s="4"/>
      <c r="K330" s="35">
        <f ca="1">+K142</f>
        <v>5</v>
      </c>
      <c r="L330" s="35">
        <f t="shared" ref="L330:O330" ca="1" si="61">+L142</f>
        <v>5</v>
      </c>
      <c r="M330" s="35">
        <f t="shared" ca="1" si="61"/>
        <v>5</v>
      </c>
      <c r="N330" s="35">
        <f t="shared" ca="1" si="61"/>
        <v>5</v>
      </c>
      <c r="O330" s="35">
        <f t="shared" ca="1" si="61"/>
        <v>5</v>
      </c>
    </row>
    <row r="331" spans="1:15" ht="12.95" customHeight="1" x14ac:dyDescent="0.2">
      <c r="B331" s="226" t="s">
        <v>204</v>
      </c>
      <c r="C331" s="226"/>
      <c r="D331" s="226"/>
      <c r="E331" s="226"/>
      <c r="F331" s="226"/>
      <c r="G331" s="226"/>
      <c r="H331" s="226"/>
      <c r="I331" s="226"/>
      <c r="J331" s="226"/>
      <c r="K331" s="37">
        <f ca="1">+SUM(K328:K330)</f>
        <v>1105.0459558870043</v>
      </c>
      <c r="L331" s="37">
        <f t="shared" ref="L331:O331" ca="1" si="62">+SUM(L328:L330)</f>
        <v>1376.1264155808535</v>
      </c>
      <c r="M331" s="37">
        <f t="shared" ca="1" si="62"/>
        <v>1680.7724382049653</v>
      </c>
      <c r="N331" s="37">
        <f t="shared" ca="1" si="62"/>
        <v>2022.3504882846391</v>
      </c>
      <c r="O331" s="37">
        <f t="shared" ca="1" si="62"/>
        <v>2405.8855603729726</v>
      </c>
    </row>
    <row r="332" spans="1:15" ht="12.95" customHeight="1" x14ac:dyDescent="0.2">
      <c r="B332" s="3" t="s">
        <v>336</v>
      </c>
      <c r="C332" s="3"/>
      <c r="D332" s="3"/>
      <c r="E332" s="3"/>
      <c r="F332" s="3"/>
      <c r="G332" s="3"/>
      <c r="H332" s="3"/>
      <c r="I332" s="3"/>
      <c r="J332" s="3"/>
      <c r="K332" s="66">
        <f>-$F$55</f>
        <v>-977.38021669999966</v>
      </c>
      <c r="L332" s="66">
        <f>-$F$55</f>
        <v>-977.38021669999966</v>
      </c>
      <c r="M332" s="66">
        <f>-$F$55</f>
        <v>-977.38021669999966</v>
      </c>
      <c r="N332" s="66">
        <f>-$F$55</f>
        <v>-977.38021669999966</v>
      </c>
      <c r="O332" s="66">
        <f>-$F$55</f>
        <v>-977.38021669999966</v>
      </c>
    </row>
    <row r="333" spans="1:15" ht="12.95" customHeight="1" x14ac:dyDescent="0.2">
      <c r="B333" s="69" t="s">
        <v>207</v>
      </c>
      <c r="C333" s="69"/>
      <c r="D333" s="69"/>
      <c r="E333" s="69"/>
      <c r="F333" s="69"/>
      <c r="G333" s="69"/>
      <c r="H333" s="69"/>
      <c r="I333" s="69"/>
      <c r="J333" s="69"/>
      <c r="K333" s="71">
        <f ca="1">+MAX(SUM(K331:K332),0)</f>
        <v>127.66573918700465</v>
      </c>
      <c r="L333" s="71">
        <f t="shared" ref="L333:O333" ca="1" si="63">+MAX(SUM(L331:L332),0)</f>
        <v>398.74619888085385</v>
      </c>
      <c r="M333" s="71">
        <f t="shared" ca="1" si="63"/>
        <v>703.39222150496562</v>
      </c>
      <c r="N333" s="71">
        <f t="shared" ca="1" si="63"/>
        <v>1044.9702715846395</v>
      </c>
      <c r="O333" s="71">
        <f t="shared" ca="1" si="63"/>
        <v>1428.5053436729729</v>
      </c>
    </row>
    <row r="335" spans="1:15" ht="12.95" customHeight="1" x14ac:dyDescent="0.2">
      <c r="F335" s="1" t="s">
        <v>205</v>
      </c>
      <c r="J335" s="250">
        <f>+M30</f>
        <v>0.1</v>
      </c>
      <c r="K335" s="15">
        <f ca="1">+K333*$J$335</f>
        <v>12.766573918700466</v>
      </c>
      <c r="L335" s="15">
        <f t="shared" ref="L335:O335" ca="1" si="64">+L333*$J$335</f>
        <v>39.874619888085391</v>
      </c>
      <c r="M335" s="15">
        <f t="shared" ca="1" si="64"/>
        <v>70.339222150496568</v>
      </c>
      <c r="N335" s="15">
        <f t="shared" ca="1" si="64"/>
        <v>104.49702715846395</v>
      </c>
      <c r="O335" s="15">
        <f t="shared" ca="1" si="64"/>
        <v>142.85053436729729</v>
      </c>
    </row>
    <row r="337" spans="6:15" ht="12.95" customHeight="1" x14ac:dyDescent="0.2">
      <c r="F337" s="1" t="s">
        <v>208</v>
      </c>
      <c r="K337" s="254">
        <f ca="1">+K331-K335</f>
        <v>1092.2793819683038</v>
      </c>
      <c r="L337" s="254">
        <f t="shared" ref="L337:O337" ca="1" si="65">+L331-L335</f>
        <v>1336.2517956927682</v>
      </c>
      <c r="M337" s="254">
        <f t="shared" ca="1" si="65"/>
        <v>1610.4332160544686</v>
      </c>
      <c r="N337" s="254">
        <f t="shared" ca="1" si="65"/>
        <v>1917.8534611261753</v>
      </c>
      <c r="O337" s="254">
        <f t="shared" ca="1" si="65"/>
        <v>2263.0350260056753</v>
      </c>
    </row>
    <row r="338" spans="6:15" customFormat="1" ht="3" customHeight="1" x14ac:dyDescent="0.25"/>
    <row r="339" spans="6:15" ht="12.95" customHeight="1" x14ac:dyDescent="0.2">
      <c r="J339" s="26" t="s">
        <v>183</v>
      </c>
    </row>
    <row r="340" spans="6:15" ht="12.95" customHeight="1" x14ac:dyDescent="0.2">
      <c r="G340" s="29" t="s">
        <v>210</v>
      </c>
      <c r="H340" s="29" t="s">
        <v>209</v>
      </c>
      <c r="J340" s="26" t="s">
        <v>212</v>
      </c>
    </row>
    <row r="341" spans="6:15" ht="12.95" customHeight="1" x14ac:dyDescent="0.2">
      <c r="F341" s="252">
        <f t="array" ref="F341:F345">+TRANSPOSE(K325:O325)</f>
        <v>2020</v>
      </c>
      <c r="G341" s="258">
        <f ca="1">+IRR(J341:O341)</f>
        <v>0.11755830873705064</v>
      </c>
      <c r="H341" s="259">
        <f ca="1">+SUM(K341:O341)/-J341</f>
        <v>1.1175583087370509</v>
      </c>
      <c r="J341" s="255">
        <f>-$F$55</f>
        <v>-977.38021669999966</v>
      </c>
      <c r="K341" s="256">
        <f t="shared" ref="K341:O345" ca="1" si="66">+IF(K$325=$F341,K$337,0)</f>
        <v>1092.2793819683038</v>
      </c>
      <c r="L341" s="256">
        <f t="shared" si="66"/>
        <v>0</v>
      </c>
      <c r="M341" s="256">
        <f t="shared" si="66"/>
        <v>0</v>
      </c>
      <c r="N341" s="256">
        <f t="shared" si="66"/>
        <v>0</v>
      </c>
      <c r="O341" s="257">
        <f t="shared" si="66"/>
        <v>0</v>
      </c>
    </row>
    <row r="342" spans="6:15" ht="12.95" customHeight="1" x14ac:dyDescent="0.2">
      <c r="F342" s="252">
        <v>2021</v>
      </c>
      <c r="G342" s="258">
        <f ca="1">+IRR(J342:O342)</f>
        <v>0.16926346225305466</v>
      </c>
      <c r="H342" s="259">
        <f ca="1">+SUM(K342:O342)/-J342</f>
        <v>1.3671770441645041</v>
      </c>
      <c r="J342" s="104">
        <f>-$F$55</f>
        <v>-977.38021669999966</v>
      </c>
      <c r="K342" s="16">
        <f t="shared" si="66"/>
        <v>0</v>
      </c>
      <c r="L342" s="16">
        <f t="shared" ca="1" si="66"/>
        <v>1336.2517956927682</v>
      </c>
      <c r="M342" s="16">
        <f t="shared" si="66"/>
        <v>0</v>
      </c>
      <c r="N342" s="16">
        <f t="shared" si="66"/>
        <v>0</v>
      </c>
      <c r="O342" s="236">
        <f t="shared" si="66"/>
        <v>0</v>
      </c>
    </row>
    <row r="343" spans="6:15" ht="12.95" customHeight="1" x14ac:dyDescent="0.2">
      <c r="F343" s="252">
        <v>2022</v>
      </c>
      <c r="G343" s="258">
        <f ca="1">+IRR(J343:O343)</f>
        <v>0.18111737540040695</v>
      </c>
      <c r="H343" s="259">
        <f ca="1">+SUM(K343:O343)/-J343</f>
        <v>1.6477039217060194</v>
      </c>
      <c r="J343" s="104">
        <f>-$F$55</f>
        <v>-977.38021669999966</v>
      </c>
      <c r="K343" s="16">
        <f t="shared" si="66"/>
        <v>0</v>
      </c>
      <c r="L343" s="16">
        <f t="shared" si="66"/>
        <v>0</v>
      </c>
      <c r="M343" s="16">
        <f t="shared" ca="1" si="66"/>
        <v>1610.4332160544686</v>
      </c>
      <c r="N343" s="16">
        <f t="shared" si="66"/>
        <v>0</v>
      </c>
      <c r="O343" s="236">
        <f t="shared" si="66"/>
        <v>0</v>
      </c>
    </row>
    <row r="344" spans="6:15" ht="12.95" customHeight="1" x14ac:dyDescent="0.2">
      <c r="F344" s="252">
        <v>2023</v>
      </c>
      <c r="G344" s="258">
        <f ca="1">+IRR(J344:O344)</f>
        <v>0.18355370455189535</v>
      </c>
      <c r="H344" s="259">
        <f ca="1">+SUM(K344:O344)/-J344</f>
        <v>1.9622388793601371</v>
      </c>
      <c r="J344" s="104">
        <f>-$F$55</f>
        <v>-977.38021669999966</v>
      </c>
      <c r="K344" s="16">
        <f t="shared" si="66"/>
        <v>0</v>
      </c>
      <c r="L344" s="16">
        <f t="shared" si="66"/>
        <v>0</v>
      </c>
      <c r="M344" s="16">
        <f t="shared" si="66"/>
        <v>0</v>
      </c>
      <c r="N344" s="16">
        <f t="shared" ca="1" si="66"/>
        <v>1917.8534611261753</v>
      </c>
      <c r="O344" s="236">
        <f t="shared" si="66"/>
        <v>0</v>
      </c>
    </row>
    <row r="345" spans="6:15" ht="12.95" customHeight="1" x14ac:dyDescent="0.2">
      <c r="F345" s="252">
        <v>2024</v>
      </c>
      <c r="G345" s="258">
        <f ca="1">+IRR(J345:O345)</f>
        <v>0.18283875727886101</v>
      </c>
      <c r="H345" s="259">
        <f ca="1">+SUM(K345:O345)/-J345</f>
        <v>2.315409077591652</v>
      </c>
      <c r="J345" s="105">
        <f>-$F$55</f>
        <v>-977.38021669999966</v>
      </c>
      <c r="K345" s="66">
        <f t="shared" si="66"/>
        <v>0</v>
      </c>
      <c r="L345" s="66">
        <f t="shared" si="66"/>
        <v>0</v>
      </c>
      <c r="M345" s="66">
        <f t="shared" si="66"/>
        <v>0</v>
      </c>
      <c r="N345" s="66">
        <f t="shared" si="66"/>
        <v>0</v>
      </c>
      <c r="O345" s="237">
        <f t="shared" ca="1" si="66"/>
        <v>2263.0350260056753</v>
      </c>
    </row>
    <row r="348" spans="6:15" ht="12.95" customHeight="1" x14ac:dyDescent="0.2">
      <c r="G348" s="294"/>
    </row>
  </sheetData>
  <conditionalFormatting sqref="A1:A1048576">
    <cfRule type="expression" dxfId="0" priority="1">
      <formula>$E$13&gt;0</formula>
    </cfRule>
  </conditionalFormatting>
  <printOptions horizontalCentered="1"/>
  <pageMargins left="0.25" right="0.25" top="0.75" bottom="0.75" header="0.3" footer="0.3"/>
  <pageSetup scale="61" orientation="landscape" horizontalDpi="1200" verticalDpi="1200" r:id="rId1"/>
  <rowBreaks count="5" manualBreakCount="5">
    <brk id="101" min="1" max="16" man="1"/>
    <brk id="136" min="1" max="16" man="1"/>
    <brk id="190" min="1" max="16" man="1"/>
    <brk id="248" min="1" max="16" man="1"/>
    <brk id="298"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3907C-4379-4FC9-9034-5FA377473643}">
  <dimension ref="A2:X342"/>
  <sheetViews>
    <sheetView showGridLines="0" topLeftCell="A97" zoomScale="115" zoomScaleNormal="115" zoomScaleSheetLayoutView="85" workbookViewId="0">
      <selection activeCell="A109" sqref="A109"/>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c r="L104" s="232"/>
      <c r="M104" s="232"/>
      <c r="N104" s="232"/>
      <c r="O104" s="232"/>
      <c r="Q104" s="1" t="s">
        <v>213</v>
      </c>
    </row>
    <row r="105" spans="1:17" ht="12.95" customHeight="1" x14ac:dyDescent="0.2">
      <c r="B105" s="3" t="s">
        <v>24</v>
      </c>
      <c r="C105" s="3"/>
      <c r="D105" s="3"/>
      <c r="E105" s="3"/>
      <c r="F105" s="3"/>
      <c r="G105" s="3"/>
      <c r="H105" s="120">
        <v>-513</v>
      </c>
      <c r="I105" s="120">
        <v>-547.947</v>
      </c>
      <c r="J105" s="127">
        <v>-585.2728800000001</v>
      </c>
      <c r="K105" s="233"/>
      <c r="L105" s="233"/>
      <c r="M105" s="233"/>
      <c r="N105" s="233"/>
      <c r="O105" s="233"/>
      <c r="Q105" s="1" t="s">
        <v>213</v>
      </c>
    </row>
    <row r="106" spans="1:17" ht="12.95" customHeight="1" x14ac:dyDescent="0.2">
      <c r="B106" s="4" t="s">
        <v>17</v>
      </c>
      <c r="C106" s="4"/>
      <c r="D106" s="4"/>
      <c r="E106" s="4"/>
      <c r="F106" s="4"/>
      <c r="G106" s="4"/>
      <c r="H106" s="121">
        <f t="shared" ref="H106:J106" si="2">SUM(H104:H105)</f>
        <v>387</v>
      </c>
      <c r="I106" s="121">
        <f t="shared" si="2"/>
        <v>415.053</v>
      </c>
      <c r="J106" s="126">
        <f t="shared" si="2"/>
        <v>445.13711999999998</v>
      </c>
      <c r="K106" s="62"/>
      <c r="L106" s="62"/>
      <c r="M106" s="62"/>
      <c r="N106" s="62"/>
      <c r="O106" s="62"/>
      <c r="Q106" s="1" t="s">
        <v>213</v>
      </c>
    </row>
    <row r="107" spans="1:17" ht="12.95" customHeight="1" x14ac:dyDescent="0.2">
      <c r="B107" s="3" t="s">
        <v>18</v>
      </c>
      <c r="C107" s="3"/>
      <c r="D107" s="3"/>
      <c r="E107" s="3"/>
      <c r="F107" s="3"/>
      <c r="G107" s="3"/>
      <c r="H107" s="120">
        <v>-252.00000000000003</v>
      </c>
      <c r="I107" s="120">
        <v>-270.60300000000001</v>
      </c>
      <c r="J107" s="127">
        <v>-290.57562000000007</v>
      </c>
      <c r="K107" s="62"/>
      <c r="L107" s="62"/>
      <c r="M107" s="62"/>
      <c r="N107" s="62"/>
      <c r="O107" s="62"/>
      <c r="Q107" s="1" t="s">
        <v>213</v>
      </c>
    </row>
    <row r="108" spans="1:17" ht="12.95" customHeight="1" x14ac:dyDescent="0.2">
      <c r="B108" s="69" t="s">
        <v>25</v>
      </c>
      <c r="C108" s="69"/>
      <c r="D108" s="69"/>
      <c r="E108" s="69"/>
      <c r="F108" s="69"/>
      <c r="G108" s="69"/>
      <c r="H108" s="122">
        <f t="shared" ref="H108:J108" si="3">+SUM(H106:H107)</f>
        <v>134.99999999999997</v>
      </c>
      <c r="I108" s="122">
        <f t="shared" si="3"/>
        <v>144.44999999999999</v>
      </c>
      <c r="J108" s="128">
        <f t="shared" si="3"/>
        <v>154.56149999999991</v>
      </c>
      <c r="K108" s="96"/>
      <c r="L108" s="96"/>
      <c r="M108" s="96"/>
      <c r="N108" s="96"/>
      <c r="O108" s="96"/>
      <c r="Q108" s="1" t="s">
        <v>213</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J111" si="4">+SUM(H108:H110)</f>
        <v>134.99999999999997</v>
      </c>
      <c r="I111" s="121">
        <f t="shared" si="4"/>
        <v>144.45499999999998</v>
      </c>
      <c r="J111" s="126">
        <f t="shared" si="4"/>
        <v>154.5689999999999</v>
      </c>
      <c r="K111" s="222"/>
      <c r="L111" s="222"/>
      <c r="M111" s="222"/>
      <c r="N111" s="222"/>
      <c r="O111" s="222"/>
      <c r="Q111" s="1" t="s">
        <v>213</v>
      </c>
    </row>
    <row r="112" spans="1:17" ht="12.95" customHeight="1" x14ac:dyDescent="0.2">
      <c r="B112" s="4" t="s">
        <v>22</v>
      </c>
      <c r="C112" s="4"/>
      <c r="D112" s="4"/>
      <c r="E112" s="4"/>
      <c r="F112" s="4"/>
      <c r="G112" s="4"/>
      <c r="H112" s="120">
        <v>-47.249999999999986</v>
      </c>
      <c r="I112" s="120">
        <v>-37.558299999999996</v>
      </c>
      <c r="J112" s="127">
        <v>-40.187939999999976</v>
      </c>
      <c r="K112" s="62"/>
      <c r="L112" s="62"/>
      <c r="M112" s="62"/>
      <c r="N112" s="62"/>
      <c r="O112" s="62"/>
      <c r="Q112" s="1" t="s">
        <v>213</v>
      </c>
    </row>
    <row r="113" spans="2:17" ht="12.95" customHeight="1" x14ac:dyDescent="0.2">
      <c r="B113" s="20" t="s">
        <v>23</v>
      </c>
      <c r="C113" s="21"/>
      <c r="D113" s="21"/>
      <c r="E113" s="21"/>
      <c r="F113" s="21"/>
      <c r="G113" s="21"/>
      <c r="H113" s="122">
        <f t="shared" ref="H113:J113" si="5">+SUM(H111:H112)</f>
        <v>87.749999999999986</v>
      </c>
      <c r="I113" s="122">
        <f t="shared" si="5"/>
        <v>106.89669999999998</v>
      </c>
      <c r="J113" s="128">
        <f t="shared" si="5"/>
        <v>114.38105999999993</v>
      </c>
      <c r="K113" s="234"/>
      <c r="L113" s="234"/>
      <c r="M113" s="234"/>
      <c r="N113" s="234"/>
      <c r="O113" s="235"/>
      <c r="Q113" s="1" t="s">
        <v>213</v>
      </c>
    </row>
    <row r="114" spans="2:17" ht="12.95" customHeight="1" x14ac:dyDescent="0.2">
      <c r="B114" s="4"/>
      <c r="C114" s="4"/>
      <c r="D114" s="4"/>
      <c r="E114" s="4"/>
      <c r="F114" s="4"/>
      <c r="G114" s="4"/>
      <c r="H114" s="123"/>
      <c r="I114" s="123"/>
      <c r="J114" s="124"/>
      <c r="K114" s="244"/>
      <c r="L114" s="244"/>
      <c r="M114" s="244"/>
      <c r="N114" s="244"/>
      <c r="O114" s="244"/>
    </row>
    <row r="115" spans="2:17" ht="12.95" customHeight="1" x14ac:dyDescent="0.2">
      <c r="B115" s="2" t="s">
        <v>37</v>
      </c>
      <c r="C115" s="3"/>
      <c r="D115" s="3"/>
      <c r="E115" s="3"/>
      <c r="F115" s="3"/>
      <c r="G115" s="3"/>
      <c r="H115" s="60"/>
      <c r="I115" s="60"/>
      <c r="J115" s="125"/>
      <c r="K115" s="60"/>
      <c r="L115" s="60"/>
      <c r="M115" s="60"/>
      <c r="N115" s="60"/>
      <c r="O115" s="60"/>
    </row>
    <row r="116" spans="2:17" ht="12.95" customHeight="1" x14ac:dyDescent="0.2">
      <c r="B116" s="4" t="s">
        <v>19</v>
      </c>
      <c r="C116" s="4"/>
      <c r="D116" s="4"/>
      <c r="E116" s="4"/>
      <c r="F116" s="4"/>
      <c r="G116" s="4"/>
      <c r="H116" s="121">
        <f t="shared" ref="H116:J116" si="6">+H108</f>
        <v>134.99999999999997</v>
      </c>
      <c r="I116" s="121">
        <f t="shared" si="6"/>
        <v>144.44999999999999</v>
      </c>
      <c r="J116" s="126">
        <f t="shared" si="6"/>
        <v>154.56149999999991</v>
      </c>
      <c r="K116" s="222"/>
      <c r="L116" s="222"/>
      <c r="M116" s="222"/>
      <c r="N116" s="222"/>
      <c r="O116" s="222"/>
      <c r="Q116" s="1" t="s">
        <v>213</v>
      </c>
    </row>
    <row r="117" spans="2:17" ht="12.95" customHeight="1" x14ac:dyDescent="0.2">
      <c r="B117" s="3" t="s">
        <v>34</v>
      </c>
      <c r="C117" s="3"/>
      <c r="D117" s="3"/>
      <c r="E117" s="3"/>
      <c r="F117" s="3"/>
      <c r="G117" s="3"/>
      <c r="H117" s="120">
        <v>31.500000000000004</v>
      </c>
      <c r="I117" s="120">
        <v>34.668000000000006</v>
      </c>
      <c r="J117" s="127">
        <v>38.125170000000011</v>
      </c>
      <c r="K117" s="62"/>
      <c r="L117" s="62"/>
      <c r="M117" s="62"/>
      <c r="N117" s="62"/>
      <c r="O117" s="62"/>
      <c r="Q117" s="1" t="s">
        <v>213</v>
      </c>
    </row>
    <row r="118" spans="2:17" ht="12.95" customHeight="1" x14ac:dyDescent="0.2">
      <c r="B118" s="4" t="s">
        <v>35</v>
      </c>
      <c r="C118" s="4"/>
      <c r="D118" s="4"/>
      <c r="E118" s="4"/>
      <c r="F118" s="4"/>
      <c r="G118" s="4"/>
      <c r="H118" s="121">
        <f t="shared" ref="H118:J118" si="7">SUM(H116:H117)</f>
        <v>166.49999999999997</v>
      </c>
      <c r="I118" s="121">
        <f t="shared" si="7"/>
        <v>179.11799999999999</v>
      </c>
      <c r="J118" s="126">
        <f t="shared" si="7"/>
        <v>192.68666999999994</v>
      </c>
      <c r="K118" s="222"/>
      <c r="L118" s="222"/>
      <c r="M118" s="222"/>
      <c r="N118" s="222"/>
      <c r="O118" s="222"/>
      <c r="Q118" s="1" t="s">
        <v>213</v>
      </c>
    </row>
    <row r="119" spans="2:17"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7" s="76" customFormat="1" ht="12.95" customHeight="1" x14ac:dyDescent="0.2">
      <c r="B120" s="20" t="s">
        <v>36</v>
      </c>
      <c r="C120" s="21"/>
      <c r="D120" s="21"/>
      <c r="E120" s="21"/>
      <c r="F120" s="21"/>
      <c r="G120" s="21"/>
      <c r="H120" s="122">
        <f t="shared" ref="H120:J120" si="8">+SUM(H118:H119)</f>
        <v>173.49999999999997</v>
      </c>
      <c r="I120" s="122">
        <f t="shared" si="8"/>
        <v>184.11799999999999</v>
      </c>
      <c r="J120" s="128">
        <f t="shared" si="8"/>
        <v>194.68666999999994</v>
      </c>
      <c r="K120" s="96"/>
      <c r="L120" s="96"/>
      <c r="M120" s="96"/>
      <c r="N120" s="96"/>
      <c r="O120" s="97"/>
      <c r="Q120" s="1" t="s">
        <v>213</v>
      </c>
    </row>
    <row r="121" spans="2:17" ht="12.95" customHeight="1" x14ac:dyDescent="0.2">
      <c r="B121" s="4"/>
      <c r="C121" s="4"/>
      <c r="D121" s="4"/>
      <c r="E121" s="4"/>
      <c r="F121" s="4"/>
      <c r="G121" s="4"/>
      <c r="H121" s="123"/>
      <c r="I121" s="123"/>
      <c r="J121" s="124"/>
      <c r="K121" s="243"/>
      <c r="L121" s="243"/>
      <c r="M121" s="243"/>
      <c r="N121" s="243"/>
      <c r="O121" s="243"/>
    </row>
    <row r="122" spans="2:17" ht="12.95" customHeight="1" x14ac:dyDescent="0.2">
      <c r="B122" s="129" t="s">
        <v>114</v>
      </c>
      <c r="C122" s="4"/>
      <c r="D122" s="4"/>
      <c r="E122" s="4"/>
      <c r="F122" s="4"/>
      <c r="G122" s="4"/>
      <c r="H122" s="60"/>
      <c r="I122" s="60"/>
      <c r="J122" s="125"/>
      <c r="K122" s="60"/>
      <c r="L122" s="60"/>
      <c r="M122" s="60"/>
      <c r="N122" s="60"/>
      <c r="O122" s="60"/>
    </row>
    <row r="123" spans="2:17" ht="12.95" customHeight="1" x14ac:dyDescent="0.2">
      <c r="B123" s="4" t="s">
        <v>71</v>
      </c>
      <c r="C123" s="4"/>
      <c r="D123" s="4"/>
      <c r="E123" s="4"/>
      <c r="F123" s="4"/>
      <c r="G123" s="4"/>
      <c r="H123" s="227">
        <v>36</v>
      </c>
      <c r="I123" s="227">
        <v>39.0015</v>
      </c>
      <c r="J123" s="228">
        <v>42.246810000000004</v>
      </c>
      <c r="K123" s="130"/>
      <c r="L123" s="130"/>
      <c r="M123" s="130"/>
      <c r="N123" s="130"/>
      <c r="O123" s="130"/>
      <c r="Q123" s="1" t="s">
        <v>213</v>
      </c>
    </row>
    <row r="124" spans="2:17" ht="12.95" customHeight="1" x14ac:dyDescent="0.2">
      <c r="B124" s="4"/>
      <c r="C124" s="4"/>
      <c r="D124" s="4"/>
      <c r="E124" s="4"/>
      <c r="F124" s="4"/>
      <c r="G124" s="4"/>
      <c r="H124" s="4"/>
      <c r="I124" s="4"/>
      <c r="J124" s="131"/>
      <c r="K124" s="4"/>
      <c r="L124" s="4"/>
      <c r="M124" s="4"/>
      <c r="N124" s="4"/>
      <c r="O124" s="4"/>
    </row>
    <row r="125" spans="2:17" ht="12.95" customHeight="1" x14ac:dyDescent="0.2">
      <c r="B125" s="132" t="s">
        <v>27</v>
      </c>
      <c r="C125" s="3"/>
      <c r="D125" s="3"/>
      <c r="E125" s="3"/>
      <c r="F125" s="3"/>
      <c r="G125" s="3"/>
      <c r="H125" s="3"/>
      <c r="I125" s="3"/>
      <c r="J125" s="133"/>
      <c r="K125" s="3"/>
      <c r="L125" s="3"/>
      <c r="M125" s="3"/>
      <c r="N125" s="3"/>
      <c r="O125" s="3"/>
    </row>
    <row r="126" spans="2:17"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7"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7"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t="e">
        <f t="shared" si="11"/>
        <v>#DIV/0!</v>
      </c>
      <c r="L129" s="135" t="e">
        <f t="shared" si="11"/>
        <v>#DIV/0!</v>
      </c>
      <c r="M129" s="135" t="e">
        <f t="shared" si="11"/>
        <v>#DIV/0!</v>
      </c>
      <c r="N129" s="135" t="e">
        <f t="shared" si="11"/>
        <v>#DIV/0!</v>
      </c>
      <c r="O129" s="135" t="e">
        <f t="shared" si="11"/>
        <v>#DIV/0!</v>
      </c>
    </row>
    <row r="130" spans="1:24" s="4" customFormat="1" ht="12.95" customHeight="1" x14ac:dyDescent="0.2">
      <c r="B130" s="4" t="s">
        <v>32</v>
      </c>
      <c r="H130" s="33"/>
      <c r="I130" s="135">
        <f t="shared" ref="I130:O130" si="12">+I120/H120-1</f>
        <v>6.1198847262248002E-2</v>
      </c>
      <c r="J130" s="136">
        <f t="shared" si="12"/>
        <v>5.7401612009689185E-2</v>
      </c>
      <c r="K130" s="135">
        <f t="shared" si="12"/>
        <v>-1</v>
      </c>
      <c r="L130" s="135" t="e">
        <f t="shared" si="12"/>
        <v>#DIV/0!</v>
      </c>
      <c r="M130" s="135" t="e">
        <f t="shared" si="12"/>
        <v>#DIV/0!</v>
      </c>
      <c r="N130" s="135" t="e">
        <f t="shared" si="12"/>
        <v>#DIV/0!</v>
      </c>
      <c r="O130" s="135" t="e">
        <f t="shared" si="12"/>
        <v>#DIV/0!</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c r="K139" s="221"/>
      <c r="L139" s="221"/>
      <c r="M139" s="221"/>
      <c r="N139" s="221"/>
      <c r="O139" s="221"/>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c r="K140" s="62"/>
      <c r="L140" s="62"/>
      <c r="M140" s="62"/>
      <c r="N140" s="62"/>
      <c r="O140" s="62"/>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c r="K141" s="35"/>
      <c r="L141" s="35"/>
      <c r="M141" s="35"/>
      <c r="N141" s="35"/>
      <c r="O141" s="35"/>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c r="K142" s="66"/>
      <c r="L142" s="66"/>
      <c r="M142" s="66"/>
      <c r="N142" s="66"/>
      <c r="O142" s="66"/>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c r="K143" s="238"/>
      <c r="L143" s="238"/>
      <c r="M143" s="238"/>
      <c r="N143" s="238"/>
      <c r="O143" s="238"/>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c r="K145" s="35"/>
      <c r="L145" s="35"/>
      <c r="M145" s="35"/>
      <c r="N145" s="35"/>
      <c r="O145" s="35"/>
      <c r="Q145" s="174"/>
      <c r="R145" s="174"/>
      <c r="S145" s="174"/>
      <c r="T145" s="174"/>
      <c r="U145" s="174"/>
      <c r="V145" s="174"/>
      <c r="W145" s="174"/>
      <c r="X145" s="174"/>
    </row>
    <row r="146" spans="2:24" s="4" customFormat="1" ht="12.95" customHeight="1" x14ac:dyDescent="0.2">
      <c r="B146" s="4" t="s">
        <v>45</v>
      </c>
      <c r="E146" s="159">
        <v>0</v>
      </c>
      <c r="F146" s="159">
        <v>0</v>
      </c>
      <c r="G146" s="160">
        <v>0</v>
      </c>
      <c r="H146" s="35"/>
      <c r="J146" s="149"/>
      <c r="K146" s="35"/>
      <c r="L146" s="35"/>
      <c r="M146" s="35"/>
      <c r="N146" s="35"/>
      <c r="O146" s="35"/>
      <c r="Q146" s="174"/>
      <c r="R146" s="174"/>
      <c r="S146" s="174"/>
      <c r="T146" s="174"/>
      <c r="U146" s="174"/>
      <c r="V146" s="174"/>
      <c r="W146" s="174"/>
      <c r="X146" s="174"/>
    </row>
    <row r="147" spans="2:24" s="4" customFormat="1" ht="12.95" customHeight="1" x14ac:dyDescent="0.2">
      <c r="B147" s="4" t="s">
        <v>145</v>
      </c>
      <c r="E147" s="159">
        <v>0</v>
      </c>
      <c r="F147" s="159">
        <v>0</v>
      </c>
      <c r="G147" s="160">
        <v>0</v>
      </c>
      <c r="H147" s="35"/>
      <c r="J147" s="149"/>
      <c r="K147" s="35"/>
      <c r="L147" s="35"/>
      <c r="M147" s="35"/>
      <c r="N147" s="35"/>
      <c r="O147" s="35"/>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c r="K148" s="35"/>
      <c r="L148" s="35"/>
      <c r="M148" s="35"/>
      <c r="N148" s="35"/>
      <c r="O148" s="35"/>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c r="K149" s="240"/>
      <c r="L149" s="240"/>
      <c r="M149" s="240"/>
      <c r="N149" s="240"/>
      <c r="O149" s="241"/>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c r="K151" s="35"/>
      <c r="L151" s="35"/>
      <c r="M151" s="35"/>
      <c r="N151" s="35"/>
      <c r="O151" s="35"/>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c r="K152" s="35"/>
      <c r="L152" s="35"/>
      <c r="M152" s="35"/>
      <c r="N152" s="35"/>
      <c r="O152" s="35"/>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c r="K153" s="66"/>
      <c r="L153" s="66"/>
      <c r="M153" s="66"/>
      <c r="N153" s="66"/>
      <c r="O153" s="66"/>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c r="K154" s="242"/>
      <c r="L154" s="238"/>
      <c r="M154" s="238"/>
      <c r="N154" s="238"/>
      <c r="O154" s="238"/>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c r="K156" s="35"/>
      <c r="L156" s="35"/>
      <c r="M156" s="35"/>
      <c r="N156" s="35"/>
      <c r="O156" s="35"/>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c r="J159" s="149"/>
      <c r="K159" s="35"/>
      <c r="L159" s="35"/>
      <c r="M159" s="35"/>
      <c r="N159" s="35"/>
      <c r="O159" s="35"/>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c r="J160" s="149"/>
      <c r="K160" s="35"/>
      <c r="L160" s="35"/>
      <c r="M160" s="35"/>
      <c r="N160" s="35"/>
      <c r="O160" s="35"/>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c r="J161" s="149"/>
      <c r="K161" s="35"/>
      <c r="L161" s="35"/>
      <c r="M161" s="35"/>
      <c r="N161" s="35"/>
      <c r="O161" s="35"/>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c r="I162" s="3"/>
      <c r="J162" s="152"/>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c r="K163" s="238">
        <f t="shared" ref="K163:O163" si="13">+SUM(K158:K162)</f>
        <v>0</v>
      </c>
      <c r="L163" s="238">
        <f t="shared" si="13"/>
        <v>0</v>
      </c>
      <c r="M163" s="238">
        <f t="shared" si="13"/>
        <v>0</v>
      </c>
      <c r="N163" s="238">
        <f t="shared" si="13"/>
        <v>0</v>
      </c>
      <c r="O163" s="238">
        <f t="shared" si="13"/>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c r="I165" s="35"/>
      <c r="J165" s="149"/>
      <c r="K165" s="35"/>
      <c r="L165" s="35"/>
      <c r="M165" s="35"/>
      <c r="N165" s="35"/>
      <c r="O165" s="35"/>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c r="K166" s="22"/>
      <c r="L166" s="22"/>
      <c r="M166" s="22"/>
      <c r="N166" s="22"/>
      <c r="O166" s="23"/>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c r="F168" s="175"/>
      <c r="G168" s="176"/>
      <c r="H168" s="112"/>
      <c r="J168" s="177"/>
      <c r="K168" s="175"/>
      <c r="L168" s="175"/>
      <c r="M168" s="175"/>
      <c r="N168" s="175"/>
      <c r="O168" s="175"/>
      <c r="Q168" s="174"/>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c r="F171" s="35"/>
      <c r="G171" s="236"/>
      <c r="H171" s="145"/>
      <c r="I171" s="181"/>
      <c r="J171" s="180"/>
      <c r="K171" s="35"/>
      <c r="L171" s="35"/>
      <c r="M171" s="35"/>
      <c r="N171" s="35"/>
      <c r="O171" s="35"/>
    </row>
    <row r="172" spans="2:24" s="4" customFormat="1" ht="12.95" customHeight="1" outlineLevel="1" x14ac:dyDescent="0.2">
      <c r="B172" s="4" t="str">
        <f>+B105</f>
        <v>Cost of Goods Sold (Cost of Sales)</v>
      </c>
      <c r="E172" s="35"/>
      <c r="F172" s="35"/>
      <c r="G172" s="236"/>
      <c r="H172" s="112"/>
      <c r="I172" s="131"/>
      <c r="J172" s="180"/>
      <c r="K172" s="35"/>
      <c r="L172" s="35"/>
      <c r="M172" s="35"/>
      <c r="N172" s="35"/>
      <c r="O172" s="35"/>
    </row>
    <row r="173" spans="2:24" s="4" customFormat="1" ht="12.95" customHeight="1" outlineLevel="1" x14ac:dyDescent="0.2">
      <c r="B173" s="3" t="str">
        <f>+B107</f>
        <v>SG&amp;A</v>
      </c>
      <c r="C173" s="3"/>
      <c r="D173" s="3"/>
      <c r="E173" s="66"/>
      <c r="F173" s="66"/>
      <c r="G173" s="237"/>
      <c r="H173" s="115"/>
      <c r="I173" s="133"/>
      <c r="J173" s="182"/>
      <c r="K173" s="66"/>
      <c r="L173" s="66"/>
      <c r="M173" s="66"/>
      <c r="N173" s="66"/>
      <c r="O173" s="66"/>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t="e">
        <f>+(E140/E171)*365</f>
        <v>#DIV/0!</v>
      </c>
      <c r="F176" s="185" t="e">
        <f>+(F140/F171)*365</f>
        <v>#DIV/0!</v>
      </c>
      <c r="G176" s="186" t="e">
        <f>+(G140/G171)*365</f>
        <v>#DIV/0!</v>
      </c>
      <c r="H176" s="112"/>
      <c r="I176" s="131"/>
      <c r="J176" s="187"/>
      <c r="K176" s="188">
        <v>30</v>
      </c>
      <c r="L176" s="189">
        <v>30</v>
      </c>
      <c r="M176" s="189">
        <v>30</v>
      </c>
      <c r="N176" s="189">
        <v>30</v>
      </c>
      <c r="O176" s="189">
        <v>30</v>
      </c>
    </row>
    <row r="177" spans="1:15" s="4" customFormat="1" ht="12.95" customHeight="1" x14ac:dyDescent="0.2">
      <c r="B177" s="4" t="s">
        <v>54</v>
      </c>
      <c r="E177" s="190">
        <f>+E172/E141</f>
        <v>0</v>
      </c>
      <c r="F177" s="190">
        <f>+F172/F141</f>
        <v>0</v>
      </c>
      <c r="G177" s="191">
        <f>+G172/G141</f>
        <v>0</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t="e">
        <f>+E142/E171</f>
        <v>#DIV/0!</v>
      </c>
      <c r="F178" s="193" t="e">
        <f>+F142/F171</f>
        <v>#DIV/0!</v>
      </c>
      <c r="G178" s="194" t="e">
        <f>+G142/G171</f>
        <v>#DIV/0!</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t="e">
        <f>+(E151/E172)*365</f>
        <v>#DIV/0!</v>
      </c>
      <c r="F181" s="185" t="e">
        <f>+(F151/F172)*365</f>
        <v>#DIV/0!</v>
      </c>
      <c r="G181" s="198" t="e">
        <f>+(G151/G172)*365</f>
        <v>#DIV/0!</v>
      </c>
      <c r="H181" s="112"/>
      <c r="J181" s="199"/>
      <c r="K181" s="189">
        <v>30</v>
      </c>
      <c r="L181" s="189">
        <v>30</v>
      </c>
      <c r="M181" s="189">
        <v>30</v>
      </c>
      <c r="N181" s="189">
        <v>30</v>
      </c>
      <c r="O181" s="189">
        <v>30</v>
      </c>
    </row>
    <row r="182" spans="1:15" s="4" customFormat="1" ht="12.95" customHeight="1" x14ac:dyDescent="0.2">
      <c r="B182" s="4" t="s">
        <v>211</v>
      </c>
      <c r="E182" s="193" t="e">
        <f>+E152/SUM(E172:E173)</f>
        <v>#DIV/0!</v>
      </c>
      <c r="F182" s="193" t="e">
        <f>+F152/SUM(F172:F173)</f>
        <v>#DIV/0!</v>
      </c>
      <c r="G182" s="194" t="e">
        <f>+G152/SUM(G172:G173)</f>
        <v>#DIV/0!</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t="e">
        <f>+E153/E171</f>
        <v>#DIV/0!</v>
      </c>
      <c r="F183" s="193" t="e">
        <f>+F153/F171</f>
        <v>#DIV/0!</v>
      </c>
      <c r="G183" s="194" t="e">
        <f>+G153/G171</f>
        <v>#DIV/0!</v>
      </c>
      <c r="H183" s="112"/>
      <c r="J183" s="195"/>
      <c r="K183" s="134">
        <v>0.05</v>
      </c>
      <c r="L183" s="134">
        <v>0.05</v>
      </c>
      <c r="M183" s="134">
        <v>0.05</v>
      </c>
      <c r="N183" s="134">
        <v>0.05</v>
      </c>
      <c r="O183" s="134">
        <v>0.05</v>
      </c>
    </row>
    <row r="184" spans="1:15" s="4" customFormat="1" ht="12.95" customHeight="1" x14ac:dyDescent="0.2">
      <c r="B184" s="4" t="s">
        <v>120</v>
      </c>
      <c r="E184" s="193" t="e">
        <f>+E156/E171</f>
        <v>#DIV/0!</v>
      </c>
      <c r="F184" s="193" t="e">
        <f>+F156/F171</f>
        <v>#DIV/0!</v>
      </c>
      <c r="G184" s="194" t="e">
        <f>+G156/G171</f>
        <v>#DIV/0!</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0</v>
      </c>
      <c r="L186" s="200">
        <f>+(L143-L139)-L154</f>
        <v>0</v>
      </c>
      <c r="M186" s="200">
        <f>+(M143-M139)-M154</f>
        <v>0</v>
      </c>
      <c r="N186" s="200">
        <f>+(N143-N139)-N154</f>
        <v>0</v>
      </c>
      <c r="O186" s="200">
        <f>+(O143-O139)-O154</f>
        <v>0</v>
      </c>
    </row>
    <row r="187" spans="1:15" s="4" customFormat="1" ht="12.95" customHeight="1" x14ac:dyDescent="0.2">
      <c r="B187" s="3" t="s">
        <v>195</v>
      </c>
      <c r="C187" s="3"/>
      <c r="D187" s="3"/>
      <c r="E187" s="203" t="e">
        <f>+E186/E171</f>
        <v>#DIV/0!</v>
      </c>
      <c r="F187" s="203" t="e">
        <f>+F186/F171</f>
        <v>#DIV/0!</v>
      </c>
      <c r="G187" s="204" t="e">
        <f>+G186/G171</f>
        <v>#DIV/0!</v>
      </c>
      <c r="H187" s="115"/>
      <c r="I187" s="3"/>
      <c r="J187" s="205"/>
      <c r="K187" s="203" t="e">
        <f>+K186/K171</f>
        <v>#DIV/0!</v>
      </c>
      <c r="L187" s="203" t="e">
        <f>+L186/L171</f>
        <v>#DIV/0!</v>
      </c>
      <c r="M187" s="203" t="e">
        <f>+M186/M171</f>
        <v>#DIV/0!</v>
      </c>
      <c r="N187" s="203" t="e">
        <f>+N186/N171</f>
        <v>#DIV/0!</v>
      </c>
      <c r="O187" s="203"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8"/>
      <c r="I193" s="108"/>
      <c r="J193" s="108"/>
      <c r="K193" s="15"/>
      <c r="L193" s="15"/>
      <c r="M193" s="15"/>
      <c r="N193" s="15"/>
      <c r="O193" s="15"/>
    </row>
    <row r="194" spans="2:17" ht="12.95" customHeight="1" x14ac:dyDescent="0.2">
      <c r="B194" s="1" t="s">
        <v>67</v>
      </c>
      <c r="H194" s="38"/>
      <c r="I194" s="38"/>
      <c r="J194" s="38"/>
      <c r="K194" s="16"/>
      <c r="L194" s="16"/>
      <c r="M194" s="16"/>
      <c r="N194" s="16"/>
      <c r="O194" s="16"/>
    </row>
    <row r="195" spans="2:17" ht="12.95" customHeight="1" x14ac:dyDescent="0.2">
      <c r="B195" s="1" t="s">
        <v>145</v>
      </c>
      <c r="H195" s="38"/>
      <c r="I195" s="38"/>
      <c r="J195" s="38"/>
      <c r="K195" s="16"/>
      <c r="L195" s="16"/>
      <c r="M195" s="16"/>
      <c r="N195" s="16"/>
      <c r="O195" s="16"/>
    </row>
    <row r="196" spans="2:17" ht="12.95" customHeight="1" x14ac:dyDescent="0.2">
      <c r="B196" s="1" t="s">
        <v>150</v>
      </c>
      <c r="H196" s="38"/>
      <c r="I196" s="38"/>
      <c r="J196" s="38"/>
      <c r="K196" s="62"/>
      <c r="L196" s="62"/>
      <c r="M196" s="62"/>
      <c r="N196" s="62"/>
      <c r="O196" s="62"/>
    </row>
    <row r="198" spans="2:17" ht="12.95" customHeight="1" x14ac:dyDescent="0.2">
      <c r="B198" s="24" t="s">
        <v>85</v>
      </c>
    </row>
    <row r="199" spans="2:17" ht="12.95" customHeight="1" x14ac:dyDescent="0.2">
      <c r="B199" s="1" t="str">
        <f>+"(Increase) / Decrease in "&amp;B140</f>
        <v>(Increase) / Decrease in Accounts Receivable</v>
      </c>
      <c r="H199" s="38"/>
      <c r="I199" s="38"/>
      <c r="J199" s="38"/>
      <c r="K199" s="16"/>
      <c r="L199" s="16"/>
      <c r="M199" s="16"/>
      <c r="N199" s="16"/>
      <c r="O199" s="16"/>
    </row>
    <row r="200" spans="2:17" ht="12.95" customHeight="1" x14ac:dyDescent="0.2">
      <c r="B200" s="1" t="str">
        <f>+"(Increase) / Decrease in "&amp;B141</f>
        <v>(Increase) / Decrease in Inventories</v>
      </c>
      <c r="H200" s="38"/>
      <c r="I200" s="38"/>
      <c r="J200" s="38"/>
      <c r="K200" s="16"/>
      <c r="L200" s="16"/>
      <c r="M200" s="16"/>
      <c r="N200" s="16"/>
      <c r="O200" s="16"/>
    </row>
    <row r="201" spans="2:17" ht="12.95" customHeight="1" x14ac:dyDescent="0.2">
      <c r="B201" s="1" t="str">
        <f>+"(Increase) / Decrease in "&amp;B142</f>
        <v>(Increase) / Decrease in Prepaid Expenses</v>
      </c>
      <c r="H201" s="38"/>
      <c r="I201" s="38"/>
      <c r="J201" s="38"/>
      <c r="K201" s="16"/>
      <c r="L201" s="16"/>
      <c r="M201" s="16"/>
      <c r="N201" s="16"/>
      <c r="O201" s="16"/>
    </row>
    <row r="202" spans="2:17" ht="12.95" customHeight="1" x14ac:dyDescent="0.2">
      <c r="B202" s="1" t="str">
        <f>+"(Increase) / Decrease in "&amp;B148</f>
        <v>(Increase) / Decrease in Other Long-Term (Operating) Assets</v>
      </c>
      <c r="H202" s="38"/>
      <c r="I202" s="38"/>
      <c r="J202" s="38"/>
      <c r="K202" s="16"/>
      <c r="L202" s="16"/>
      <c r="M202" s="16"/>
      <c r="N202" s="16"/>
      <c r="O202" s="16"/>
    </row>
    <row r="203" spans="2:17" ht="12.95" customHeight="1" x14ac:dyDescent="0.2">
      <c r="B203" s="1" t="str">
        <f>+"Increase / (Decrease) in "&amp;B151</f>
        <v>Increase / (Decrease) in Accounts Payable</v>
      </c>
      <c r="H203" s="38"/>
      <c r="I203" s="38"/>
      <c r="J203" s="38"/>
      <c r="K203" s="16"/>
      <c r="L203" s="16"/>
      <c r="M203" s="16"/>
      <c r="N203" s="16"/>
      <c r="O203" s="16"/>
    </row>
    <row r="204" spans="2:17" ht="12.95" customHeight="1" x14ac:dyDescent="0.2">
      <c r="B204" s="1" t="str">
        <f>+"Increase / (Decrease) in "&amp;B152</f>
        <v>Increase / (Decrease) in Accrued Liabilities</v>
      </c>
      <c r="H204" s="38"/>
      <c r="I204" s="38"/>
      <c r="J204" s="38"/>
      <c r="K204" s="16"/>
      <c r="L204" s="16"/>
      <c r="M204" s="16"/>
      <c r="N204" s="16"/>
      <c r="O204" s="16"/>
    </row>
    <row r="205" spans="2:17" ht="12.95" customHeight="1" x14ac:dyDescent="0.2">
      <c r="B205" s="1" t="str">
        <f>+"Increase / (Decrease) in "&amp;B153</f>
        <v>Increase / (Decrease) in Deferred Revenue</v>
      </c>
      <c r="H205" s="38"/>
      <c r="I205" s="38"/>
      <c r="J205" s="38"/>
      <c r="K205" s="16"/>
      <c r="L205" s="16"/>
      <c r="M205" s="16"/>
      <c r="N205" s="16"/>
      <c r="O205" s="16"/>
    </row>
    <row r="206" spans="2:17" s="4" customFormat="1" ht="12.95" customHeight="1" x14ac:dyDescent="0.2">
      <c r="B206" s="3" t="str">
        <f>+"Increase / (Decrease) in "&amp;B156</f>
        <v>Increase / (Decrease) in Other Long-Term (Operating) Liabilities</v>
      </c>
      <c r="C206" s="3"/>
      <c r="D206" s="3"/>
      <c r="E206" s="3"/>
      <c r="F206" s="3"/>
      <c r="G206" s="3"/>
      <c r="H206" s="153"/>
      <c r="I206" s="153"/>
      <c r="J206" s="153"/>
      <c r="K206" s="66"/>
      <c r="L206" s="66"/>
      <c r="M206" s="66"/>
      <c r="N206" s="66"/>
      <c r="O206" s="66"/>
      <c r="Q206" s="1"/>
    </row>
    <row r="207" spans="2:17" s="4" customFormat="1" ht="12.95" customHeight="1" x14ac:dyDescent="0.2">
      <c r="B207" s="4" t="s">
        <v>68</v>
      </c>
      <c r="H207" s="200"/>
      <c r="I207" s="200"/>
      <c r="J207" s="200"/>
      <c r="K207" s="54"/>
      <c r="L207" s="54"/>
      <c r="M207" s="54"/>
      <c r="N207" s="54"/>
      <c r="O207" s="54"/>
      <c r="Q207" s="1"/>
    </row>
    <row r="208" spans="2:17" s="4" customFormat="1" ht="12.95" customHeight="1" x14ac:dyDescent="0.2"/>
    <row r="209" spans="1:17" s="4" customFormat="1" ht="12.95" customHeight="1" x14ac:dyDescent="0.2">
      <c r="B209" s="207" t="s">
        <v>69</v>
      </c>
      <c r="C209" s="208"/>
      <c r="D209" s="208"/>
      <c r="E209" s="208"/>
      <c r="F209" s="208"/>
      <c r="G209" s="208"/>
      <c r="H209" s="209"/>
      <c r="I209" s="209"/>
      <c r="J209" s="209"/>
      <c r="K209" s="22"/>
      <c r="L209" s="22"/>
      <c r="M209" s="22"/>
      <c r="N209" s="22"/>
      <c r="O209" s="23"/>
      <c r="Q209" s="1"/>
    </row>
    <row r="210" spans="1:17" s="4" customFormat="1" ht="12.95" customHeight="1" x14ac:dyDescent="0.2"/>
    <row r="211" spans="1:17" ht="12.95" customHeight="1" x14ac:dyDescent="0.2">
      <c r="B211" s="24" t="s">
        <v>70</v>
      </c>
    </row>
    <row r="212" spans="1:17" ht="12.95" customHeight="1" x14ac:dyDescent="0.2">
      <c r="B212" s="4" t="s">
        <v>71</v>
      </c>
      <c r="C212" s="4"/>
      <c r="D212" s="4"/>
      <c r="E212" s="4"/>
      <c r="F212" s="4"/>
      <c r="G212" s="4"/>
      <c r="H212" s="200"/>
      <c r="I212" s="200"/>
      <c r="J212" s="200"/>
      <c r="K212" s="54"/>
      <c r="L212" s="54"/>
      <c r="M212" s="54"/>
      <c r="N212" s="54"/>
      <c r="O212" s="54"/>
    </row>
    <row r="213" spans="1:17" s="76" customFormat="1" ht="12.95" customHeight="1" x14ac:dyDescent="0.2">
      <c r="B213" s="20" t="s">
        <v>72</v>
      </c>
      <c r="C213" s="21"/>
      <c r="D213" s="21"/>
      <c r="E213" s="21"/>
      <c r="F213" s="21"/>
      <c r="G213" s="21"/>
      <c r="H213" s="172"/>
      <c r="I213" s="172"/>
      <c r="J213" s="172"/>
      <c r="K213" s="22"/>
      <c r="L213" s="22"/>
      <c r="M213" s="22"/>
      <c r="N213" s="22"/>
      <c r="O213" s="23"/>
      <c r="Q213" s="1"/>
    </row>
    <row r="215" spans="1:17" ht="12.95" customHeight="1" x14ac:dyDescent="0.2">
      <c r="B215" s="24" t="s">
        <v>81</v>
      </c>
    </row>
    <row r="216" spans="1:17" ht="12.95" customHeight="1" x14ac:dyDescent="0.2">
      <c r="B216" s="1" t="s">
        <v>82</v>
      </c>
      <c r="H216" s="25"/>
      <c r="I216" s="25"/>
      <c r="J216" s="25"/>
      <c r="K216" s="16"/>
      <c r="L216" s="16"/>
      <c r="M216" s="16"/>
      <c r="N216" s="16"/>
      <c r="O216" s="16"/>
    </row>
    <row r="217" spans="1:17" ht="12.95" customHeight="1" x14ac:dyDescent="0.2">
      <c r="B217" s="3" t="s">
        <v>83</v>
      </c>
      <c r="C217" s="3"/>
      <c r="D217" s="3"/>
      <c r="E217" s="3"/>
      <c r="F217" s="3"/>
      <c r="G217" s="3"/>
      <c r="H217" s="27"/>
      <c r="I217" s="27"/>
      <c r="J217" s="27"/>
      <c r="K217" s="66"/>
      <c r="L217" s="66"/>
      <c r="M217" s="66"/>
      <c r="N217" s="66"/>
      <c r="O217" s="66"/>
    </row>
    <row r="218" spans="1:17" s="76" customFormat="1" ht="12.95" customHeight="1" x14ac:dyDescent="0.2">
      <c r="B218" s="69" t="s">
        <v>84</v>
      </c>
      <c r="C218" s="69"/>
      <c r="D218" s="69"/>
      <c r="E218" s="69"/>
      <c r="F218" s="69"/>
      <c r="G218" s="69"/>
      <c r="H218" s="210"/>
      <c r="I218" s="210"/>
      <c r="J218" s="210"/>
      <c r="K218" s="71"/>
      <c r="L218" s="71"/>
      <c r="M218" s="71"/>
      <c r="N218" s="71"/>
      <c r="O218" s="71"/>
      <c r="Q218" s="1"/>
    </row>
    <row r="220" spans="1:17" ht="12.95" customHeight="1" x14ac:dyDescent="0.2">
      <c r="B220" s="207" t="s">
        <v>87</v>
      </c>
      <c r="C220" s="208"/>
      <c r="D220" s="208"/>
      <c r="E220" s="208"/>
      <c r="F220" s="208"/>
      <c r="G220" s="208"/>
      <c r="H220" s="209"/>
      <c r="I220" s="209"/>
      <c r="J220" s="209"/>
      <c r="K220" s="22"/>
      <c r="L220" s="22"/>
      <c r="M220" s="22"/>
      <c r="N220" s="22"/>
      <c r="O220" s="2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206"/>
      <c r="M224" s="206"/>
      <c r="N224" s="206"/>
      <c r="O224" s="206"/>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11"/>
      <c r="L227" s="211"/>
      <c r="M227" s="211"/>
      <c r="N227" s="211"/>
      <c r="O227" s="211"/>
    </row>
    <row r="228" spans="2:17" s="76" customFormat="1" ht="12.95" customHeight="1" x14ac:dyDescent="0.2">
      <c r="B228" s="69" t="s">
        <v>74</v>
      </c>
      <c r="C228" s="69"/>
      <c r="D228" s="69"/>
      <c r="E228" s="69"/>
      <c r="F228" s="69"/>
      <c r="G228" s="69"/>
      <c r="H228" s="212"/>
      <c r="I228" s="212"/>
      <c r="J228" s="212"/>
      <c r="K228" s="71"/>
      <c r="L228" s="71"/>
      <c r="M228" s="71"/>
      <c r="N228" s="71"/>
      <c r="O228" s="71"/>
      <c r="Q228" s="1"/>
    </row>
    <row r="230" spans="2:17" ht="12.95" customHeight="1" x14ac:dyDescent="0.2">
      <c r="B230" s="24" t="s">
        <v>196</v>
      </c>
    </row>
    <row r="231" spans="2:17" ht="12.95" customHeight="1" x14ac:dyDescent="0.2">
      <c r="B231" s="1" t="s">
        <v>122</v>
      </c>
      <c r="K231" s="16"/>
      <c r="L231" s="16"/>
      <c r="M231" s="16"/>
      <c r="N231" s="16"/>
      <c r="O231" s="16"/>
    </row>
    <row r="232" spans="2:17" ht="12.95" customHeight="1" x14ac:dyDescent="0.2">
      <c r="B232" s="1" t="s">
        <v>123</v>
      </c>
      <c r="K232" s="16"/>
      <c r="L232" s="16"/>
      <c r="M232" s="16"/>
      <c r="N232" s="16"/>
      <c r="O232" s="16"/>
    </row>
    <row r="233" spans="2:17" s="76" customFormat="1" ht="12.95" customHeight="1" x14ac:dyDescent="0.2">
      <c r="B233" s="20" t="s">
        <v>75</v>
      </c>
      <c r="C233" s="21"/>
      <c r="D233" s="21"/>
      <c r="E233" s="21"/>
      <c r="F233" s="21"/>
      <c r="G233" s="21"/>
      <c r="H233" s="21"/>
      <c r="I233" s="21"/>
      <c r="J233" s="21"/>
      <c r="K233" s="22"/>
      <c r="L233" s="22"/>
      <c r="M233" s="22"/>
      <c r="N233" s="22"/>
      <c r="O233" s="23"/>
      <c r="Q233" s="1"/>
    </row>
    <row r="235" spans="2:17" ht="12.95" customHeight="1" x14ac:dyDescent="0.2">
      <c r="B235" s="1" t="s">
        <v>76</v>
      </c>
      <c r="H235" s="38"/>
      <c r="I235" s="38"/>
      <c r="J235" s="38"/>
      <c r="K235" s="16"/>
      <c r="L235" s="16"/>
      <c r="M235" s="16"/>
      <c r="N235" s="16"/>
      <c r="O235" s="16"/>
    </row>
    <row r="236" spans="2:17" ht="12.95" customHeight="1" x14ac:dyDescent="0.2">
      <c r="B236" s="4" t="s">
        <v>77</v>
      </c>
      <c r="C236" s="4"/>
      <c r="D236" s="4"/>
      <c r="E236" s="4"/>
      <c r="F236" s="4"/>
      <c r="G236" s="4"/>
      <c r="H236" s="150"/>
      <c r="I236" s="150"/>
      <c r="J236" s="150"/>
      <c r="K236" s="35"/>
      <c r="L236" s="35"/>
      <c r="M236" s="35"/>
      <c r="N236" s="35"/>
      <c r="O236" s="35"/>
    </row>
    <row r="237" spans="2:17" ht="12.95" customHeight="1" x14ac:dyDescent="0.2">
      <c r="B237" s="4" t="s">
        <v>78</v>
      </c>
      <c r="C237" s="4"/>
      <c r="D237" s="4"/>
      <c r="E237" s="4"/>
      <c r="F237" s="4"/>
      <c r="G237" s="4"/>
      <c r="H237" s="150"/>
      <c r="I237" s="150"/>
      <c r="J237" s="150"/>
      <c r="K237" s="35"/>
      <c r="L237" s="35"/>
      <c r="M237" s="35"/>
      <c r="N237" s="35"/>
      <c r="O237" s="35"/>
    </row>
    <row r="238" spans="2:17" s="76" customFormat="1" ht="12.95" customHeight="1" x14ac:dyDescent="0.2">
      <c r="B238" s="20" t="s">
        <v>86</v>
      </c>
      <c r="C238" s="21"/>
      <c r="D238" s="21"/>
      <c r="E238" s="21"/>
      <c r="F238" s="21"/>
      <c r="G238" s="21"/>
      <c r="H238" s="172"/>
      <c r="I238" s="172"/>
      <c r="J238" s="172"/>
      <c r="K238" s="22"/>
      <c r="L238" s="22"/>
      <c r="M238" s="22"/>
      <c r="N238" s="22"/>
      <c r="O238" s="23"/>
      <c r="Q238" s="1"/>
    </row>
    <row r="240" spans="2:17" s="76" customFormat="1" ht="12.95" customHeight="1" x14ac:dyDescent="0.2">
      <c r="B240" s="24" t="s">
        <v>79</v>
      </c>
    </row>
    <row r="241" spans="1:17" ht="12.95" customHeight="1" x14ac:dyDescent="0.2">
      <c r="B241" s="1" t="str">
        <f>+B159</f>
        <v>Revolving Credit Facility</v>
      </c>
      <c r="K241" s="16"/>
      <c r="L241" s="16"/>
      <c r="M241" s="16"/>
      <c r="N241" s="16"/>
      <c r="O241" s="16"/>
      <c r="Q241" s="174"/>
    </row>
    <row r="242" spans="1:17" ht="12.95" customHeight="1" x14ac:dyDescent="0.2">
      <c r="B242" s="1" t="str">
        <f>+B160</f>
        <v>First Lien Term Loan</v>
      </c>
      <c r="K242" s="16"/>
      <c r="L242" s="16"/>
      <c r="M242" s="16"/>
      <c r="N242" s="16"/>
      <c r="O242" s="16"/>
      <c r="Q242" s="4"/>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c r="L245" s="71"/>
      <c r="M245" s="71"/>
      <c r="N245" s="71"/>
      <c r="O245" s="71"/>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c r="L254" s="54"/>
      <c r="M254" s="54"/>
      <c r="N254" s="54"/>
      <c r="O254" s="54"/>
      <c r="Q254" s="174"/>
    </row>
    <row r="255" spans="1:17" ht="12.95" customHeight="1" x14ac:dyDescent="0.2">
      <c r="B255" s="3" t="s">
        <v>94</v>
      </c>
      <c r="C255" s="3"/>
      <c r="D255" s="3"/>
      <c r="E255" s="3"/>
      <c r="F255" s="3"/>
      <c r="G255" s="3"/>
      <c r="H255" s="3"/>
      <c r="I255" s="3"/>
      <c r="J255" s="3"/>
      <c r="K255" s="66"/>
      <c r="L255" s="66"/>
      <c r="M255" s="66"/>
      <c r="N255" s="66"/>
      <c r="O255" s="66"/>
      <c r="Q255" s="174"/>
    </row>
    <row r="256" spans="1:17" ht="12.95" customHeight="1" x14ac:dyDescent="0.2">
      <c r="B256" s="69" t="s">
        <v>192</v>
      </c>
      <c r="C256" s="69"/>
      <c r="D256" s="69"/>
      <c r="E256" s="69"/>
      <c r="F256" s="69"/>
      <c r="G256" s="69"/>
      <c r="H256" s="69"/>
      <c r="I256" s="69"/>
      <c r="J256" s="69"/>
      <c r="K256" s="71"/>
      <c r="L256" s="71"/>
      <c r="M256" s="71"/>
      <c r="N256" s="71"/>
      <c r="O256" s="71"/>
      <c r="Q256" s="174"/>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c r="K258" s="35"/>
      <c r="L258" s="35"/>
      <c r="M258" s="35"/>
      <c r="N258" s="35"/>
      <c r="O258" s="35"/>
      <c r="Q258" s="174"/>
    </row>
    <row r="259" spans="2:17" s="4" customFormat="1" ht="12.95" customHeight="1" x14ac:dyDescent="0.2">
      <c r="B259" s="4" t="s">
        <v>149</v>
      </c>
      <c r="G259" s="4" t="s">
        <v>96</v>
      </c>
      <c r="I259" s="217">
        <v>350</v>
      </c>
      <c r="K259" s="55"/>
      <c r="L259" s="55"/>
      <c r="M259" s="55"/>
      <c r="N259" s="55"/>
      <c r="O259" s="55"/>
      <c r="Q259" s="174"/>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74"/>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row>
    <row r="268" spans="2:17" s="4" customFormat="1" ht="12.95" customHeight="1" x14ac:dyDescent="0.2">
      <c r="B268" s="33" t="s">
        <v>92</v>
      </c>
      <c r="G268" s="4" t="s">
        <v>97</v>
      </c>
      <c r="I268" s="219">
        <v>0.02</v>
      </c>
      <c r="K268" s="35"/>
      <c r="L268" s="35"/>
      <c r="M268" s="35"/>
      <c r="N268" s="35"/>
      <c r="O268" s="35"/>
    </row>
    <row r="269" spans="2:17" ht="12.95" customHeight="1" x14ac:dyDescent="0.2">
      <c r="B269" s="3" t="s">
        <v>89</v>
      </c>
      <c r="C269" s="3"/>
      <c r="D269" s="3"/>
      <c r="E269" s="3"/>
      <c r="F269" s="3"/>
      <c r="G269" s="3"/>
      <c r="H269" s="3"/>
      <c r="I269" s="3"/>
      <c r="J269" s="3"/>
      <c r="K269" s="66"/>
      <c r="L269" s="66"/>
      <c r="M269" s="66"/>
      <c r="N269" s="66"/>
      <c r="O269" s="66"/>
      <c r="Q269" s="4"/>
    </row>
    <row r="270" spans="2:17" ht="12.95" customHeight="1" x14ac:dyDescent="0.2">
      <c r="B270" s="69" t="s">
        <v>192</v>
      </c>
      <c r="C270" s="69"/>
      <c r="D270" s="69"/>
      <c r="E270" s="69"/>
      <c r="F270" s="69"/>
      <c r="G270" s="69"/>
      <c r="H270" s="4"/>
      <c r="I270" s="69"/>
      <c r="J270" s="69"/>
      <c r="K270" s="71"/>
      <c r="L270" s="71"/>
      <c r="M270" s="71"/>
      <c r="N270" s="71"/>
      <c r="O270" s="71"/>
      <c r="Q270" s="4"/>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4"/>
    </row>
    <row r="273" spans="2:17" ht="12.95" customHeight="1" x14ac:dyDescent="0.2">
      <c r="B273" s="1" t="s">
        <v>149</v>
      </c>
      <c r="G273" s="4" t="s">
        <v>96</v>
      </c>
      <c r="I273" s="218">
        <v>350</v>
      </c>
      <c r="K273" s="55"/>
      <c r="L273" s="55"/>
      <c r="M273" s="55"/>
      <c r="N273" s="55"/>
      <c r="O273" s="55"/>
      <c r="Q273" s="4"/>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K323" s="54"/>
      <c r="L323" s="54"/>
      <c r="M323" s="54"/>
      <c r="N323" s="54"/>
      <c r="O323" s="54"/>
    </row>
    <row r="324" spans="2:17" ht="12.95" customHeight="1" x14ac:dyDescent="0.2">
      <c r="B324" s="4" t="s">
        <v>200</v>
      </c>
      <c r="C324" s="4"/>
      <c r="D324" s="4"/>
      <c r="E324" s="4"/>
      <c r="F324" s="4"/>
      <c r="G324" s="4"/>
      <c r="H324" s="4"/>
      <c r="I324" s="4"/>
      <c r="J324" s="4"/>
      <c r="K324" s="253"/>
      <c r="L324" s="253"/>
      <c r="M324" s="253"/>
      <c r="N324" s="253"/>
      <c r="O324" s="253"/>
    </row>
    <row r="325" spans="2:17" ht="12.95" customHeight="1" x14ac:dyDescent="0.2">
      <c r="B325" s="226" t="s">
        <v>201</v>
      </c>
      <c r="C325" s="226"/>
      <c r="D325" s="226"/>
      <c r="E325" s="226"/>
      <c r="F325" s="226"/>
      <c r="G325" s="226"/>
      <c r="H325" s="226"/>
      <c r="I325" s="226"/>
      <c r="J325" s="226"/>
      <c r="K325" s="37"/>
      <c r="L325" s="37"/>
      <c r="M325" s="37"/>
      <c r="N325" s="37"/>
      <c r="O325" s="37"/>
    </row>
    <row r="326" spans="2:17" ht="12.95" customHeight="1" x14ac:dyDescent="0.2">
      <c r="B326" s="1" t="s">
        <v>202</v>
      </c>
      <c r="K326" s="16"/>
      <c r="L326" s="16"/>
      <c r="M326" s="16"/>
      <c r="N326" s="16"/>
      <c r="O326" s="16"/>
    </row>
    <row r="327" spans="2:17" ht="12.95" customHeight="1" x14ac:dyDescent="0.2">
      <c r="B327" s="4" t="s">
        <v>203</v>
      </c>
      <c r="C327" s="4"/>
      <c r="D327" s="4"/>
      <c r="E327" s="4"/>
      <c r="F327" s="4"/>
      <c r="G327" s="4"/>
      <c r="H327" s="4"/>
      <c r="I327" s="4"/>
      <c r="J327" s="4"/>
      <c r="K327" s="35"/>
      <c r="L327" s="35"/>
      <c r="M327" s="35"/>
      <c r="N327" s="35"/>
      <c r="O327" s="35"/>
    </row>
    <row r="328" spans="2:17" ht="12.95" customHeight="1" x14ac:dyDescent="0.2">
      <c r="B328" s="226" t="s">
        <v>204</v>
      </c>
      <c r="C328" s="226"/>
      <c r="D328" s="226"/>
      <c r="E328" s="226"/>
      <c r="F328" s="226"/>
      <c r="G328" s="226"/>
      <c r="H328" s="226"/>
      <c r="I328" s="226"/>
      <c r="J328" s="226"/>
      <c r="K328" s="37"/>
      <c r="L328" s="37"/>
      <c r="M328" s="37"/>
      <c r="N328" s="37"/>
      <c r="O328" s="37"/>
    </row>
    <row r="329" spans="2:17" ht="12.95" customHeight="1" x14ac:dyDescent="0.2">
      <c r="B329" s="3" t="s">
        <v>336</v>
      </c>
      <c r="C329" s="3"/>
      <c r="D329" s="3"/>
      <c r="E329" s="3"/>
      <c r="F329" s="3"/>
      <c r="G329" s="3"/>
      <c r="H329" s="3"/>
      <c r="I329" s="3"/>
      <c r="J329" s="3"/>
      <c r="K329" s="66"/>
      <c r="L329" s="66"/>
      <c r="M329" s="66"/>
      <c r="N329" s="66"/>
      <c r="O329" s="66"/>
    </row>
    <row r="330" spans="2:17" ht="12.95" customHeight="1" x14ac:dyDescent="0.2">
      <c r="B330" s="69" t="s">
        <v>207</v>
      </c>
      <c r="C330" s="69"/>
      <c r="D330" s="69"/>
      <c r="E330" s="69"/>
      <c r="F330" s="69"/>
      <c r="G330" s="69"/>
      <c r="H330" s="69"/>
      <c r="I330" s="69"/>
      <c r="J330" s="69"/>
      <c r="K330" s="71"/>
      <c r="L330" s="71"/>
      <c r="M330" s="71"/>
      <c r="N330" s="71"/>
      <c r="O330" s="71"/>
    </row>
    <row r="332" spans="2:17" ht="12.95" customHeight="1" x14ac:dyDescent="0.2">
      <c r="F332" s="1" t="s">
        <v>205</v>
      </c>
      <c r="J332" s="250"/>
      <c r="K332" s="15"/>
      <c r="L332" s="15"/>
      <c r="M332" s="15"/>
      <c r="N332" s="15"/>
      <c r="O332" s="15"/>
    </row>
    <row r="334" spans="2:17" ht="12.95" customHeight="1" x14ac:dyDescent="0.2">
      <c r="F334" s="1" t="s">
        <v>208</v>
      </c>
      <c r="K334" s="254"/>
      <c r="L334" s="254"/>
      <c r="M334" s="254"/>
      <c r="N334" s="254"/>
      <c r="O334" s="254"/>
    </row>
    <row r="335" spans="2:17" customFormat="1" ht="3" customHeight="1" x14ac:dyDescent="0.25">
      <c r="Q335" s="1"/>
    </row>
    <row r="336" spans="2:17"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D0653-E9B2-4A50-913E-C19A5AD9AD3D}">
  <dimension ref="A2:Z342"/>
  <sheetViews>
    <sheetView showGridLines="0" topLeftCell="A133" zoomScaleNormal="100" zoomScaleSheetLayoutView="85" workbookViewId="0"/>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9" width="3.7109375" style="1" customWidth="1"/>
    <col min="20"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c r="K139" s="221"/>
      <c r="L139" s="221"/>
      <c r="M139" s="221"/>
      <c r="N139" s="221"/>
      <c r="O139" s="221"/>
      <c r="Q139" s="174"/>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c r="K140" s="62"/>
      <c r="L140" s="62"/>
      <c r="M140" s="62"/>
      <c r="N140" s="62"/>
      <c r="O140" s="62"/>
      <c r="Q140" s="267" t="s">
        <v>234</v>
      </c>
      <c r="R140" s="1"/>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c r="K141" s="35"/>
      <c r="L141" s="35"/>
      <c r="M141" s="35"/>
      <c r="N141" s="35"/>
      <c r="O141" s="35"/>
      <c r="Q141" s="267"/>
      <c r="R141" s="266" t="s">
        <v>316</v>
      </c>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c r="K142" s="66"/>
      <c r="L142" s="66"/>
      <c r="M142" s="66"/>
      <c r="N142" s="66"/>
      <c r="O142" s="66"/>
      <c r="Q142" s="174"/>
      <c r="R142" s="266" t="s">
        <v>235</v>
      </c>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c r="K143" s="238"/>
      <c r="L143" s="238"/>
      <c r="M143" s="238"/>
      <c r="N143" s="238"/>
      <c r="O143" s="238"/>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6" s="4" customFormat="1" ht="12.95" customHeight="1" x14ac:dyDescent="0.2">
      <c r="B145" s="4" t="s">
        <v>44</v>
      </c>
      <c r="E145" s="148">
        <v>144.5</v>
      </c>
      <c r="F145" s="148">
        <v>148.83349999999999</v>
      </c>
      <c r="G145" s="158">
        <v>152.95513999999997</v>
      </c>
      <c r="J145" s="149"/>
      <c r="K145" s="35"/>
      <c r="L145" s="35"/>
      <c r="M145" s="35"/>
      <c r="N145" s="35"/>
      <c r="O145" s="35"/>
      <c r="Q145" s="174"/>
      <c r="R145" s="174"/>
      <c r="S145" s="174"/>
      <c r="T145" s="174"/>
      <c r="U145" s="174"/>
      <c r="V145" s="174"/>
      <c r="W145" s="174"/>
      <c r="X145" s="174"/>
    </row>
    <row r="146" spans="2:26" s="4" customFormat="1" ht="12.95" customHeight="1" x14ac:dyDescent="0.2">
      <c r="B146" s="4" t="s">
        <v>45</v>
      </c>
      <c r="E146" s="159">
        <v>0</v>
      </c>
      <c r="F146" s="159">
        <v>0</v>
      </c>
      <c r="G146" s="160">
        <v>0</v>
      </c>
      <c r="H146" s="35"/>
      <c r="J146" s="149"/>
      <c r="K146" s="35"/>
      <c r="L146" s="35"/>
      <c r="M146" s="35"/>
      <c r="N146" s="35"/>
      <c r="O146" s="35"/>
      <c r="Q146" s="267" t="s">
        <v>233</v>
      </c>
      <c r="R146" s="174"/>
      <c r="S146" s="174"/>
      <c r="T146" s="174"/>
      <c r="U146" s="174"/>
      <c r="V146" s="174"/>
      <c r="W146" s="174"/>
      <c r="X146" s="174"/>
    </row>
    <row r="147" spans="2:26" s="4" customFormat="1" ht="12.95" customHeight="1" x14ac:dyDescent="0.2">
      <c r="B147" s="4" t="s">
        <v>145</v>
      </c>
      <c r="E147" s="159">
        <v>0</v>
      </c>
      <c r="F147" s="159">
        <v>0</v>
      </c>
      <c r="G147" s="160">
        <v>0</v>
      </c>
      <c r="H147" s="35"/>
      <c r="J147" s="149"/>
      <c r="K147" s="35"/>
      <c r="L147" s="35"/>
      <c r="M147" s="35"/>
      <c r="N147" s="35"/>
      <c r="O147" s="35"/>
      <c r="Q147" s="267"/>
      <c r="R147" s="266" t="s">
        <v>318</v>
      </c>
      <c r="S147" s="174"/>
      <c r="T147" s="174"/>
      <c r="U147" s="174"/>
      <c r="V147" s="174"/>
      <c r="W147" s="174"/>
      <c r="X147" s="174"/>
    </row>
    <row r="148" spans="2:26" s="4" customFormat="1" ht="12.95" customHeight="1" x14ac:dyDescent="0.2">
      <c r="B148" s="4" t="s">
        <v>56</v>
      </c>
      <c r="E148" s="148">
        <v>22.5</v>
      </c>
      <c r="F148" s="148">
        <v>28.89</v>
      </c>
      <c r="G148" s="158">
        <v>36.064350000000005</v>
      </c>
      <c r="J148" s="149"/>
      <c r="K148" s="35"/>
      <c r="L148" s="35"/>
      <c r="M148" s="35"/>
      <c r="N148" s="35"/>
      <c r="O148" s="35"/>
      <c r="Q148" s="267"/>
      <c r="R148" s="266" t="s">
        <v>236</v>
      </c>
      <c r="S148" s="174"/>
      <c r="T148" s="174"/>
      <c r="U148" s="174"/>
      <c r="V148" s="174"/>
      <c r="W148" s="174"/>
      <c r="X148" s="174"/>
    </row>
    <row r="149" spans="2:26"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c r="K149" s="240"/>
      <c r="L149" s="240"/>
      <c r="M149" s="240"/>
      <c r="N149" s="240"/>
      <c r="O149" s="241"/>
      <c r="Q149" s="267"/>
      <c r="R149" s="266" t="s">
        <v>232</v>
      </c>
      <c r="S149" s="174"/>
      <c r="T149" s="174"/>
      <c r="U149" s="174"/>
      <c r="V149" s="174"/>
      <c r="W149" s="174"/>
      <c r="X149" s="174"/>
    </row>
    <row r="150" spans="2:26" s="4" customFormat="1" ht="12.95" customHeight="1" x14ac:dyDescent="0.2">
      <c r="G150" s="131"/>
      <c r="H150" s="112"/>
      <c r="J150" s="107"/>
      <c r="Q150" s="174"/>
      <c r="R150" s="266" t="s">
        <v>319</v>
      </c>
      <c r="S150" s="174"/>
      <c r="T150" s="174"/>
      <c r="U150" s="174"/>
      <c r="V150" s="174"/>
      <c r="W150" s="174"/>
      <c r="X150" s="174"/>
      <c r="Y150" s="69"/>
      <c r="Z150" s="69"/>
    </row>
    <row r="151" spans="2:26" s="4" customFormat="1" ht="12.95" customHeight="1" x14ac:dyDescent="0.2">
      <c r="B151" s="4" t="s">
        <v>47</v>
      </c>
      <c r="E151" s="148">
        <v>36.893835616438352</v>
      </c>
      <c r="F151" s="148">
        <v>41.283678082191777</v>
      </c>
      <c r="G151" s="158">
        <v>46.100261095890417</v>
      </c>
      <c r="J151" s="149"/>
      <c r="K151" s="35"/>
      <c r="L151" s="35"/>
      <c r="M151" s="35"/>
      <c r="N151" s="35"/>
      <c r="O151" s="35"/>
      <c r="Q151" s="174"/>
      <c r="R151" s="266" t="s">
        <v>237</v>
      </c>
      <c r="S151" s="174"/>
      <c r="T151" s="174"/>
      <c r="U151" s="174"/>
      <c r="V151" s="174"/>
      <c r="W151" s="174"/>
      <c r="X151" s="174"/>
    </row>
    <row r="152" spans="2:26" s="4" customFormat="1" ht="12.95" customHeight="1" x14ac:dyDescent="0.2">
      <c r="B152" s="4" t="s">
        <v>48</v>
      </c>
      <c r="E152" s="148">
        <v>39.78</v>
      </c>
      <c r="F152" s="148">
        <v>44.201700000000002</v>
      </c>
      <c r="G152" s="158">
        <v>49.047516000000016</v>
      </c>
      <c r="J152" s="149"/>
      <c r="K152" s="35"/>
      <c r="L152" s="35"/>
      <c r="M152" s="35"/>
      <c r="N152" s="35"/>
      <c r="O152" s="35"/>
      <c r="Q152" s="174"/>
      <c r="S152" s="266" t="s">
        <v>320</v>
      </c>
      <c r="T152" s="174"/>
      <c r="U152" s="174"/>
      <c r="V152" s="174"/>
      <c r="W152" s="174"/>
      <c r="X152" s="174"/>
    </row>
    <row r="153" spans="2:26" s="4" customFormat="1" ht="12.95" customHeight="1" x14ac:dyDescent="0.2">
      <c r="B153" s="3" t="s">
        <v>49</v>
      </c>
      <c r="C153" s="3"/>
      <c r="D153" s="3"/>
      <c r="E153" s="151">
        <v>24.75</v>
      </c>
      <c r="F153" s="151">
        <v>33.705000000000005</v>
      </c>
      <c r="G153" s="158">
        <v>43.792425000000009</v>
      </c>
      <c r="H153" s="3"/>
      <c r="I153" s="3"/>
      <c r="J153" s="152"/>
      <c r="K153" s="66"/>
      <c r="L153" s="66"/>
      <c r="M153" s="66"/>
      <c r="N153" s="66"/>
      <c r="O153" s="66"/>
      <c r="Q153" s="174"/>
      <c r="R153" s="174"/>
      <c r="S153" s="266" t="s">
        <v>321</v>
      </c>
      <c r="T153" s="174"/>
      <c r="U153" s="174"/>
      <c r="V153" s="174"/>
      <c r="W153" s="174"/>
      <c r="X153" s="174"/>
    </row>
    <row r="154" spans="2:26" s="4" customFormat="1" ht="12.95" customHeight="1" x14ac:dyDescent="0.2">
      <c r="B154" s="69" t="s">
        <v>61</v>
      </c>
      <c r="C154" s="69"/>
      <c r="D154" s="69"/>
      <c r="E154" s="154">
        <f>SUM(E151:E153)</f>
        <v>101.42383561643835</v>
      </c>
      <c r="F154" s="154">
        <f>SUM(F151:F153)</f>
        <v>119.19037808219178</v>
      </c>
      <c r="G154" s="164">
        <f>SUM(G151:G153)</f>
        <v>138.94020209589044</v>
      </c>
      <c r="H154" s="112"/>
      <c r="J154" s="157"/>
      <c r="K154" s="242"/>
      <c r="L154" s="238"/>
      <c r="M154" s="238"/>
      <c r="N154" s="238"/>
      <c r="O154" s="238"/>
      <c r="Q154" s="174"/>
      <c r="R154" s="174"/>
      <c r="S154" s="174"/>
      <c r="T154" s="174"/>
      <c r="U154" s="174"/>
      <c r="V154" s="174"/>
      <c r="W154" s="174"/>
      <c r="X154" s="174"/>
    </row>
    <row r="155" spans="2:26" s="4" customFormat="1" ht="12.95" customHeight="1" x14ac:dyDescent="0.2">
      <c r="G155" s="131"/>
      <c r="H155" s="112"/>
      <c r="J155" s="107"/>
      <c r="Q155" s="174"/>
      <c r="R155" s="174"/>
      <c r="S155" s="174"/>
      <c r="T155" s="174"/>
      <c r="U155" s="174"/>
      <c r="V155" s="174"/>
      <c r="W155" s="174"/>
      <c r="X155" s="174"/>
    </row>
    <row r="156" spans="2:26" s="4" customFormat="1" ht="12.95" customHeight="1" x14ac:dyDescent="0.2">
      <c r="B156" s="4" t="s">
        <v>57</v>
      </c>
      <c r="E156" s="148">
        <v>9</v>
      </c>
      <c r="F156" s="148">
        <v>9.6300000000000008</v>
      </c>
      <c r="G156" s="158">
        <v>10.304100000000002</v>
      </c>
      <c r="J156" s="149"/>
      <c r="K156" s="35"/>
      <c r="L156" s="35"/>
      <c r="M156" s="35"/>
      <c r="N156" s="35"/>
      <c r="O156" s="35"/>
      <c r="Q156" s="174"/>
      <c r="R156" s="174"/>
      <c r="S156" s="174"/>
      <c r="T156" s="174"/>
      <c r="U156" s="174"/>
      <c r="V156" s="174"/>
      <c r="W156" s="174"/>
      <c r="X156" s="174"/>
    </row>
    <row r="157" spans="2:26" s="4" customFormat="1" ht="12.95" customHeight="1" x14ac:dyDescent="0.2">
      <c r="E157" s="52"/>
      <c r="F157" s="52"/>
      <c r="G157" s="165"/>
      <c r="H157" s="112"/>
      <c r="J157" s="166"/>
      <c r="Q157" s="174"/>
      <c r="R157" s="174"/>
      <c r="S157" s="174"/>
      <c r="T157" s="174"/>
      <c r="U157" s="174"/>
      <c r="V157" s="174"/>
      <c r="W157" s="174"/>
      <c r="X157" s="174"/>
    </row>
    <row r="158" spans="2:26" s="4" customFormat="1" ht="12.95" customHeight="1" x14ac:dyDescent="0.2">
      <c r="B158" s="4" t="s">
        <v>146</v>
      </c>
      <c r="E158" s="159">
        <v>0</v>
      </c>
      <c r="F158" s="159">
        <v>0</v>
      </c>
      <c r="G158" s="160">
        <v>0</v>
      </c>
      <c r="H158" s="112"/>
      <c r="J158" s="149"/>
      <c r="K158" s="260">
        <f>+J158</f>
        <v>0</v>
      </c>
      <c r="L158" s="260">
        <f>+K158</f>
        <v>0</v>
      </c>
      <c r="M158" s="260">
        <f>+L158</f>
        <v>0</v>
      </c>
      <c r="N158" s="260">
        <f>+M158</f>
        <v>0</v>
      </c>
      <c r="O158" s="260">
        <f>+N158</f>
        <v>0</v>
      </c>
      <c r="Q158" s="174"/>
      <c r="R158" s="174"/>
      <c r="S158" s="174"/>
      <c r="T158" s="174"/>
      <c r="U158" s="174"/>
      <c r="V158" s="174"/>
      <c r="W158" s="174"/>
      <c r="X158" s="174"/>
    </row>
    <row r="159" spans="2:26" s="4" customFormat="1" ht="12.95" customHeight="1" x14ac:dyDescent="0.2">
      <c r="B159" s="4" t="str">
        <f>+B48</f>
        <v>Revolving Credit Facility</v>
      </c>
      <c r="E159" s="159">
        <v>0</v>
      </c>
      <c r="F159" s="159">
        <v>0</v>
      </c>
      <c r="G159" s="160">
        <v>0</v>
      </c>
      <c r="H159" s="90"/>
      <c r="J159" s="149"/>
      <c r="K159" s="35"/>
      <c r="L159" s="35"/>
      <c r="M159" s="35"/>
      <c r="N159" s="35"/>
      <c r="O159" s="35"/>
    </row>
    <row r="160" spans="2:26" s="4" customFormat="1" ht="12.95" customHeight="1" x14ac:dyDescent="0.2">
      <c r="B160" s="4" t="str">
        <f>+B49</f>
        <v>First Lien Term Loan</v>
      </c>
      <c r="E160" s="159">
        <v>0</v>
      </c>
      <c r="F160" s="159">
        <v>0</v>
      </c>
      <c r="G160" s="160">
        <v>0</v>
      </c>
      <c r="H160" s="90"/>
      <c r="J160" s="149"/>
      <c r="K160" s="35"/>
      <c r="L160" s="35"/>
      <c r="M160" s="35"/>
      <c r="N160" s="35"/>
      <c r="O160" s="35"/>
    </row>
    <row r="161" spans="2:24" s="4" customFormat="1" ht="12.95" customHeight="1" x14ac:dyDescent="0.2">
      <c r="B161" s="4" t="str">
        <f>+B50</f>
        <v>Second Lien Term Loan</v>
      </c>
      <c r="E161" s="159">
        <v>0</v>
      </c>
      <c r="F161" s="159">
        <v>0</v>
      </c>
      <c r="G161" s="160">
        <v>0</v>
      </c>
      <c r="H161" s="90"/>
      <c r="J161" s="149"/>
      <c r="K161" s="35"/>
      <c r="L161" s="35"/>
      <c r="M161" s="35"/>
      <c r="N161" s="35"/>
      <c r="O161" s="35"/>
    </row>
    <row r="162" spans="2:24" s="4" customFormat="1" ht="12.95" customHeight="1" x14ac:dyDescent="0.2">
      <c r="B162" s="3" t="str">
        <f>+B51</f>
        <v>Notes</v>
      </c>
      <c r="C162" s="3"/>
      <c r="D162" s="3"/>
      <c r="E162" s="167">
        <v>0</v>
      </c>
      <c r="F162" s="167">
        <v>0</v>
      </c>
      <c r="G162" s="168">
        <v>0</v>
      </c>
      <c r="H162" s="169"/>
      <c r="I162" s="3"/>
      <c r="J162" s="152"/>
      <c r="K162" s="66"/>
      <c r="L162" s="66"/>
      <c r="M162" s="66"/>
      <c r="N162" s="66"/>
      <c r="O162" s="66"/>
    </row>
    <row r="163" spans="2:24" s="69" customFormat="1" ht="12.95" customHeight="1" x14ac:dyDescent="0.2">
      <c r="B163" s="69" t="s">
        <v>50</v>
      </c>
      <c r="E163" s="170">
        <f>+SUM(E158:E162)</f>
        <v>0</v>
      </c>
      <c r="F163" s="170">
        <f>+SUM(F158:F162)</f>
        <v>0</v>
      </c>
      <c r="G163" s="171">
        <f>+SUM(G158:G162)</f>
        <v>0</v>
      </c>
      <c r="H163" s="156"/>
      <c r="J163" s="157"/>
      <c r="K163" s="238"/>
      <c r="L163" s="238"/>
      <c r="M163" s="238"/>
      <c r="N163" s="238"/>
      <c r="O163" s="238"/>
    </row>
    <row r="164" spans="2:24" s="4" customFormat="1" ht="12.95" customHeight="1" x14ac:dyDescent="0.2">
      <c r="G164" s="131"/>
      <c r="H164" s="112"/>
      <c r="J164" s="107"/>
    </row>
    <row r="165" spans="2:24" s="4" customFormat="1" ht="12.95" customHeight="1" x14ac:dyDescent="0.2">
      <c r="B165" s="4" t="s">
        <v>183</v>
      </c>
      <c r="E165" s="148">
        <v>211.90518620499765</v>
      </c>
      <c r="F165" s="148">
        <v>213.00434483188047</v>
      </c>
      <c r="G165" s="158">
        <v>213.11757782622908</v>
      </c>
      <c r="H165" s="35"/>
      <c r="I165" s="35"/>
      <c r="J165" s="149"/>
      <c r="K165" s="35"/>
      <c r="L165" s="35"/>
      <c r="M165" s="35"/>
      <c r="N165" s="35"/>
      <c r="O165" s="35"/>
      <c r="Q165" s="267"/>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c r="K166" s="22"/>
      <c r="L166" s="22"/>
      <c r="M166" s="22"/>
      <c r="N166" s="22"/>
      <c r="O166" s="23"/>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c r="F168" s="175"/>
      <c r="G168" s="176"/>
      <c r="H168" s="112"/>
      <c r="J168" s="177"/>
      <c r="K168" s="175"/>
      <c r="L168" s="175"/>
      <c r="M168" s="175"/>
      <c r="N168" s="175"/>
      <c r="O168" s="175"/>
      <c r="Q168" s="267" t="s">
        <v>317</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c r="F171" s="35"/>
      <c r="G171" s="236"/>
      <c r="H171" s="145"/>
      <c r="I171" s="181"/>
      <c r="J171" s="180"/>
      <c r="K171" s="35"/>
      <c r="L171" s="35"/>
      <c r="M171" s="35"/>
      <c r="N171" s="35"/>
      <c r="O171" s="35"/>
      <c r="Q171" s="174"/>
    </row>
    <row r="172" spans="2:24" s="4" customFormat="1" ht="12.95" customHeight="1" outlineLevel="1" x14ac:dyDescent="0.2">
      <c r="B172" s="4" t="str">
        <f>+B105</f>
        <v>Cost of Goods Sold (Cost of Sales)</v>
      </c>
      <c r="E172" s="35"/>
      <c r="F172" s="35"/>
      <c r="G172" s="236"/>
      <c r="H172" s="112"/>
      <c r="I172" s="131"/>
      <c r="J172" s="180"/>
      <c r="K172" s="35"/>
      <c r="L172" s="35"/>
      <c r="M172" s="35"/>
      <c r="N172" s="35"/>
      <c r="O172" s="35"/>
      <c r="Q172" s="174"/>
    </row>
    <row r="173" spans="2:24" s="4" customFormat="1" ht="12.95" customHeight="1" outlineLevel="1" x14ac:dyDescent="0.2">
      <c r="B173" s="3" t="str">
        <f>+B107</f>
        <v>SG&amp;A</v>
      </c>
      <c r="C173" s="3"/>
      <c r="D173" s="3"/>
      <c r="E173" s="66"/>
      <c r="F173" s="66"/>
      <c r="G173" s="237"/>
      <c r="H173" s="115"/>
      <c r="I173" s="133"/>
      <c r="J173" s="182"/>
      <c r="K173" s="66"/>
      <c r="L173" s="66"/>
      <c r="M173" s="66"/>
      <c r="N173" s="66"/>
      <c r="O173" s="66"/>
      <c r="Q173" s="174"/>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t="e">
        <f>+(E140/E171)*365</f>
        <v>#DIV/0!</v>
      </c>
      <c r="F176" s="185" t="e">
        <f>+(F140/F171)*365</f>
        <v>#DIV/0!</v>
      </c>
      <c r="G176" s="186" t="e">
        <f>+(G140/G171)*365</f>
        <v>#DIV/0!</v>
      </c>
      <c r="H176" s="112"/>
      <c r="I176" s="131"/>
      <c r="J176" s="187"/>
      <c r="K176" s="188">
        <v>30</v>
      </c>
      <c r="L176" s="189">
        <v>30</v>
      </c>
      <c r="M176" s="189">
        <v>30</v>
      </c>
      <c r="N176" s="189">
        <v>30</v>
      </c>
      <c r="O176" s="189">
        <v>30</v>
      </c>
    </row>
    <row r="177" spans="1:15" s="4" customFormat="1" ht="12.95" customHeight="1" x14ac:dyDescent="0.2">
      <c r="B177" s="4" t="s">
        <v>54</v>
      </c>
      <c r="E177" s="190">
        <f>+E172/E141</f>
        <v>0</v>
      </c>
      <c r="F177" s="190">
        <f>+F172/F141</f>
        <v>0</v>
      </c>
      <c r="G177" s="191">
        <f>+G172/G141</f>
        <v>0</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t="e">
        <f>+E142/E171</f>
        <v>#DIV/0!</v>
      </c>
      <c r="F178" s="193" t="e">
        <f>+F142/F171</f>
        <v>#DIV/0!</v>
      </c>
      <c r="G178" s="194" t="e">
        <f>+G142/G171</f>
        <v>#DIV/0!</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t="e">
        <f>+(E151/E172)*365</f>
        <v>#DIV/0!</v>
      </c>
      <c r="F181" s="185" t="e">
        <f>+(F151/F172)*365</f>
        <v>#DIV/0!</v>
      </c>
      <c r="G181" s="198" t="e">
        <f>+(G151/G172)*365</f>
        <v>#DIV/0!</v>
      </c>
      <c r="H181" s="112"/>
      <c r="J181" s="199"/>
      <c r="K181" s="189">
        <v>30</v>
      </c>
      <c r="L181" s="189">
        <v>30</v>
      </c>
      <c r="M181" s="189">
        <v>30</v>
      </c>
      <c r="N181" s="189">
        <v>30</v>
      </c>
      <c r="O181" s="189">
        <v>30</v>
      </c>
    </row>
    <row r="182" spans="1:15" s="4" customFormat="1" ht="12.95" customHeight="1" x14ac:dyDescent="0.2">
      <c r="B182" s="4" t="s">
        <v>211</v>
      </c>
      <c r="E182" s="193" t="e">
        <f>+E152/SUM(E172:E173)</f>
        <v>#DIV/0!</v>
      </c>
      <c r="F182" s="193" t="e">
        <f>+F152/SUM(F172:F173)</f>
        <v>#DIV/0!</v>
      </c>
      <c r="G182" s="194" t="e">
        <f>+G152/SUM(G172:G173)</f>
        <v>#DIV/0!</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t="e">
        <f>+E153/E171</f>
        <v>#DIV/0!</v>
      </c>
      <c r="F183" s="193" t="e">
        <f>+F153/F171</f>
        <v>#DIV/0!</v>
      </c>
      <c r="G183" s="194" t="e">
        <f>+G153/G171</f>
        <v>#DIV/0!</v>
      </c>
      <c r="H183" s="112"/>
      <c r="J183" s="195"/>
      <c r="K183" s="134">
        <v>0.05</v>
      </c>
      <c r="L183" s="134">
        <v>0.05</v>
      </c>
      <c r="M183" s="134">
        <v>0.05</v>
      </c>
      <c r="N183" s="134">
        <v>0.05</v>
      </c>
      <c r="O183" s="134">
        <v>0.05</v>
      </c>
    </row>
    <row r="184" spans="1:15" s="4" customFormat="1" ht="12.95" customHeight="1" x14ac:dyDescent="0.2">
      <c r="B184" s="4" t="s">
        <v>120</v>
      </c>
      <c r="E184" s="193" t="e">
        <f>+E156/E171</f>
        <v>#DIV/0!</v>
      </c>
      <c r="F184" s="193" t="e">
        <f>+F156/F171</f>
        <v>#DIV/0!</v>
      </c>
      <c r="G184" s="194" t="e">
        <f>+G156/G171</f>
        <v>#DIV/0!</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0</v>
      </c>
      <c r="L186" s="200">
        <f>+(L143-L139)-L154</f>
        <v>0</v>
      </c>
      <c r="M186" s="200">
        <f>+(M143-M139)-M154</f>
        <v>0</v>
      </c>
      <c r="N186" s="200">
        <f>+(N143-N139)-N154</f>
        <v>0</v>
      </c>
      <c r="O186" s="200">
        <f>+(O143-O139)-O154</f>
        <v>0</v>
      </c>
    </row>
    <row r="187" spans="1:15" s="4" customFormat="1" ht="12.95" customHeight="1" x14ac:dyDescent="0.2">
      <c r="B187" s="3" t="s">
        <v>195</v>
      </c>
      <c r="C187" s="3"/>
      <c r="D187" s="3"/>
      <c r="E187" s="203" t="e">
        <f>+E186/E171</f>
        <v>#DIV/0!</v>
      </c>
      <c r="F187" s="203" t="e">
        <f>+F186/F171</f>
        <v>#DIV/0!</v>
      </c>
      <c r="G187" s="204" t="e">
        <f>+G186/G171</f>
        <v>#DIV/0!</v>
      </c>
      <c r="H187" s="115"/>
      <c r="I187" s="3"/>
      <c r="J187" s="205"/>
      <c r="K187" s="203" t="e">
        <f>+K186/K171</f>
        <v>#DIV/0!</v>
      </c>
      <c r="L187" s="203" t="e">
        <f>+L186/L171</f>
        <v>#DIV/0!</v>
      </c>
      <c r="M187" s="203" t="e">
        <f>+M186/M171</f>
        <v>#DIV/0!</v>
      </c>
      <c r="N187" s="203" t="e">
        <f>+N186/N171</f>
        <v>#DIV/0!</v>
      </c>
      <c r="O187" s="203"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8"/>
      <c r="I193" s="108"/>
      <c r="J193" s="108"/>
      <c r="K193" s="15"/>
      <c r="L193" s="15"/>
      <c r="M193" s="15"/>
      <c r="N193" s="15"/>
      <c r="O193" s="15"/>
    </row>
    <row r="194" spans="2:17" ht="12.95" customHeight="1" x14ac:dyDescent="0.2">
      <c r="B194" s="1" t="s">
        <v>67</v>
      </c>
      <c r="H194" s="38"/>
      <c r="I194" s="38"/>
      <c r="J194" s="38"/>
      <c r="K194" s="16"/>
      <c r="L194" s="16"/>
      <c r="M194" s="16"/>
      <c r="N194" s="16"/>
      <c r="O194" s="16"/>
    </row>
    <row r="195" spans="2:17" ht="12.95" customHeight="1" x14ac:dyDescent="0.2">
      <c r="B195" s="1" t="s">
        <v>145</v>
      </c>
      <c r="H195" s="38"/>
      <c r="I195" s="38"/>
      <c r="J195" s="38"/>
      <c r="K195" s="16"/>
      <c r="L195" s="16"/>
      <c r="M195" s="16"/>
      <c r="N195" s="16"/>
      <c r="O195" s="16"/>
    </row>
    <row r="196" spans="2:17" ht="12.95" customHeight="1" x14ac:dyDescent="0.2">
      <c r="B196" s="1" t="s">
        <v>150</v>
      </c>
      <c r="H196" s="38"/>
      <c r="I196" s="38"/>
      <c r="J196" s="38"/>
      <c r="K196" s="62"/>
      <c r="L196" s="62"/>
      <c r="M196" s="62"/>
      <c r="N196" s="62"/>
      <c r="O196" s="62"/>
    </row>
    <row r="198" spans="2:17" ht="12.95" customHeight="1" x14ac:dyDescent="0.2">
      <c r="B198" s="24" t="s">
        <v>85</v>
      </c>
    </row>
    <row r="199" spans="2:17" ht="12.95" customHeight="1" x14ac:dyDescent="0.2">
      <c r="B199" s="1" t="str">
        <f>+"(Increase) / Decrease in "&amp;B140</f>
        <v>(Increase) / Decrease in Accounts Receivable</v>
      </c>
      <c r="H199" s="38"/>
      <c r="I199" s="38"/>
      <c r="J199" s="38"/>
      <c r="K199" s="16"/>
      <c r="L199" s="16"/>
      <c r="M199" s="16"/>
      <c r="N199" s="16"/>
      <c r="O199" s="16"/>
    </row>
    <row r="200" spans="2:17" ht="12.95" customHeight="1" x14ac:dyDescent="0.2">
      <c r="B200" s="1" t="str">
        <f>+"(Increase) / Decrease in "&amp;B141</f>
        <v>(Increase) / Decrease in Inventories</v>
      </c>
      <c r="H200" s="38"/>
      <c r="I200" s="38"/>
      <c r="J200" s="38"/>
      <c r="K200" s="16"/>
      <c r="L200" s="16"/>
      <c r="M200" s="16"/>
      <c r="N200" s="16"/>
      <c r="O200" s="16"/>
    </row>
    <row r="201" spans="2:17" ht="12.95" customHeight="1" x14ac:dyDescent="0.2">
      <c r="B201" s="1" t="str">
        <f>+"(Increase) / Decrease in "&amp;B142</f>
        <v>(Increase) / Decrease in Prepaid Expenses</v>
      </c>
      <c r="H201" s="38"/>
      <c r="I201" s="38"/>
      <c r="J201" s="38"/>
      <c r="K201" s="16"/>
      <c r="L201" s="16"/>
      <c r="M201" s="16"/>
      <c r="N201" s="16"/>
      <c r="O201" s="16"/>
    </row>
    <row r="202" spans="2:17" ht="12.95" customHeight="1" x14ac:dyDescent="0.2">
      <c r="B202" s="1" t="str">
        <f>+"(Increase) / Decrease in "&amp;B148</f>
        <v>(Increase) / Decrease in Other Long-Term (Operating) Assets</v>
      </c>
      <c r="H202" s="38"/>
      <c r="I202" s="38"/>
      <c r="J202" s="38"/>
      <c r="K202" s="16"/>
      <c r="L202" s="16"/>
      <c r="M202" s="16"/>
      <c r="N202" s="16"/>
      <c r="O202" s="16"/>
    </row>
    <row r="203" spans="2:17" ht="12.95" customHeight="1" x14ac:dyDescent="0.2">
      <c r="B203" s="1" t="str">
        <f>+"Increase / (Decrease) in "&amp;B151</f>
        <v>Increase / (Decrease) in Accounts Payable</v>
      </c>
      <c r="H203" s="38"/>
      <c r="I203" s="38"/>
      <c r="J203" s="38"/>
      <c r="K203" s="16"/>
      <c r="L203" s="16"/>
      <c r="M203" s="16"/>
      <c r="N203" s="16"/>
      <c r="O203" s="16"/>
    </row>
    <row r="204" spans="2:17" ht="12.95" customHeight="1" x14ac:dyDescent="0.2">
      <c r="B204" s="1" t="str">
        <f>+"Increase / (Decrease) in "&amp;B152</f>
        <v>Increase / (Decrease) in Accrued Liabilities</v>
      </c>
      <c r="H204" s="38"/>
      <c r="I204" s="38"/>
      <c r="J204" s="38"/>
      <c r="K204" s="16"/>
      <c r="L204" s="16"/>
      <c r="M204" s="16"/>
      <c r="N204" s="16"/>
      <c r="O204" s="16"/>
    </row>
    <row r="205" spans="2:17" ht="12.95" customHeight="1" x14ac:dyDescent="0.2">
      <c r="B205" s="1" t="str">
        <f>+"Increase / (Decrease) in "&amp;B153</f>
        <v>Increase / (Decrease) in Deferred Revenue</v>
      </c>
      <c r="H205" s="38"/>
      <c r="I205" s="38"/>
      <c r="J205" s="38"/>
      <c r="K205" s="16"/>
      <c r="L205" s="16"/>
      <c r="M205" s="16"/>
      <c r="N205" s="16"/>
      <c r="O205" s="16"/>
    </row>
    <row r="206" spans="2:17" s="4" customFormat="1" ht="12.95" customHeight="1" x14ac:dyDescent="0.2">
      <c r="B206" s="3" t="str">
        <f>+"Increase / (Decrease) in "&amp;B156</f>
        <v>Increase / (Decrease) in Other Long-Term (Operating) Liabilities</v>
      </c>
      <c r="C206" s="3"/>
      <c r="D206" s="3"/>
      <c r="E206" s="3"/>
      <c r="F206" s="3"/>
      <c r="G206" s="3"/>
      <c r="H206" s="153"/>
      <c r="I206" s="153"/>
      <c r="J206" s="153"/>
      <c r="K206" s="66"/>
      <c r="L206" s="66"/>
      <c r="M206" s="66"/>
      <c r="N206" s="66"/>
      <c r="O206" s="66"/>
      <c r="Q206" s="1"/>
    </row>
    <row r="207" spans="2:17" s="4" customFormat="1" ht="12.95" customHeight="1" x14ac:dyDescent="0.2">
      <c r="B207" s="4" t="s">
        <v>68</v>
      </c>
      <c r="H207" s="200"/>
      <c r="I207" s="200"/>
      <c r="J207" s="200"/>
      <c r="K207" s="54"/>
      <c r="L207" s="54"/>
      <c r="M207" s="54"/>
      <c r="N207" s="54"/>
      <c r="O207" s="54"/>
      <c r="Q207" s="1"/>
    </row>
    <row r="208" spans="2:17" s="4" customFormat="1" ht="12.95" customHeight="1" x14ac:dyDescent="0.2"/>
    <row r="209" spans="1:17" s="4" customFormat="1" ht="12.95" customHeight="1" x14ac:dyDescent="0.2">
      <c r="B209" s="207" t="s">
        <v>69</v>
      </c>
      <c r="C209" s="208"/>
      <c r="D209" s="208"/>
      <c r="E209" s="208"/>
      <c r="F209" s="208"/>
      <c r="G209" s="208"/>
      <c r="H209" s="209"/>
      <c r="I209" s="209"/>
      <c r="J209" s="209"/>
      <c r="K209" s="22"/>
      <c r="L209" s="22"/>
      <c r="M209" s="22"/>
      <c r="N209" s="22"/>
      <c r="O209" s="23"/>
      <c r="Q209" s="1"/>
    </row>
    <row r="210" spans="1:17" s="4" customFormat="1" ht="12.95" customHeight="1" x14ac:dyDescent="0.2"/>
    <row r="211" spans="1:17" ht="12.95" customHeight="1" x14ac:dyDescent="0.2">
      <c r="B211" s="24" t="s">
        <v>70</v>
      </c>
    </row>
    <row r="212" spans="1:17" ht="12.95" customHeight="1" x14ac:dyDescent="0.2">
      <c r="B212" s="4" t="s">
        <v>71</v>
      </c>
      <c r="C212" s="4"/>
      <c r="D212" s="4"/>
      <c r="E212" s="4"/>
      <c r="F212" s="4"/>
      <c r="G212" s="4"/>
      <c r="H212" s="200"/>
      <c r="I212" s="200"/>
      <c r="J212" s="200"/>
      <c r="K212" s="54"/>
      <c r="L212" s="54"/>
      <c r="M212" s="54"/>
      <c r="N212" s="54"/>
      <c r="O212" s="54"/>
    </row>
    <row r="213" spans="1:17" s="76" customFormat="1" ht="12.95" customHeight="1" x14ac:dyDescent="0.2">
      <c r="B213" s="20" t="s">
        <v>72</v>
      </c>
      <c r="C213" s="21"/>
      <c r="D213" s="21"/>
      <c r="E213" s="21"/>
      <c r="F213" s="21"/>
      <c r="G213" s="21"/>
      <c r="H213" s="172"/>
      <c r="I213" s="172"/>
      <c r="J213" s="172"/>
      <c r="K213" s="22"/>
      <c r="L213" s="22"/>
      <c r="M213" s="22"/>
      <c r="N213" s="22"/>
      <c r="O213" s="23"/>
      <c r="Q213" s="1"/>
    </row>
    <row r="215" spans="1:17" ht="12.95" customHeight="1" x14ac:dyDescent="0.2">
      <c r="B215" s="24" t="s">
        <v>81</v>
      </c>
    </row>
    <row r="216" spans="1:17" ht="12.95" customHeight="1" x14ac:dyDescent="0.2">
      <c r="B216" s="1" t="s">
        <v>82</v>
      </c>
      <c r="H216" s="25"/>
      <c r="I216" s="25"/>
      <c r="J216" s="25"/>
      <c r="K216" s="16"/>
      <c r="L216" s="16"/>
      <c r="M216" s="16"/>
      <c r="N216" s="16"/>
      <c r="O216" s="16"/>
    </row>
    <row r="217" spans="1:17" ht="12.95" customHeight="1" x14ac:dyDescent="0.2">
      <c r="B217" s="3" t="s">
        <v>83</v>
      </c>
      <c r="C217" s="3"/>
      <c r="D217" s="3"/>
      <c r="E217" s="3"/>
      <c r="F217" s="3"/>
      <c r="G217" s="3"/>
      <c r="H217" s="27"/>
      <c r="I217" s="27"/>
      <c r="J217" s="27"/>
      <c r="K217" s="66"/>
      <c r="L217" s="66"/>
      <c r="M217" s="66"/>
      <c r="N217" s="66"/>
      <c r="O217" s="66"/>
    </row>
    <row r="218" spans="1:17" s="76" customFormat="1" ht="12.95" customHeight="1" x14ac:dyDescent="0.2">
      <c r="B218" s="69" t="s">
        <v>84</v>
      </c>
      <c r="C218" s="69"/>
      <c r="D218" s="69"/>
      <c r="E218" s="69"/>
      <c r="F218" s="69"/>
      <c r="G218" s="69"/>
      <c r="H218" s="210"/>
      <c r="I218" s="210"/>
      <c r="J218" s="210"/>
      <c r="K218" s="71"/>
      <c r="L218" s="71"/>
      <c r="M218" s="71"/>
      <c r="N218" s="71"/>
      <c r="O218" s="71"/>
      <c r="Q218" s="1"/>
    </row>
    <row r="220" spans="1:17" ht="12.95" customHeight="1" x14ac:dyDescent="0.2">
      <c r="B220" s="207" t="s">
        <v>87</v>
      </c>
      <c r="C220" s="208"/>
      <c r="D220" s="208"/>
      <c r="E220" s="208"/>
      <c r="F220" s="208"/>
      <c r="G220" s="208"/>
      <c r="H220" s="209"/>
      <c r="I220" s="209"/>
      <c r="J220" s="209"/>
      <c r="K220" s="22"/>
      <c r="L220" s="22"/>
      <c r="M220" s="22"/>
      <c r="N220" s="22"/>
      <c r="O220" s="2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206"/>
      <c r="M224" s="206"/>
      <c r="N224" s="206"/>
      <c r="O224" s="206"/>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11"/>
      <c r="L227" s="211"/>
      <c r="M227" s="211"/>
      <c r="N227" s="211"/>
      <c r="O227" s="211"/>
    </row>
    <row r="228" spans="2:17" s="76" customFormat="1" ht="12.95" customHeight="1" x14ac:dyDescent="0.2">
      <c r="B228" s="69" t="s">
        <v>74</v>
      </c>
      <c r="C228" s="69"/>
      <c r="D228" s="69"/>
      <c r="E228" s="69"/>
      <c r="F228" s="69"/>
      <c r="G228" s="69"/>
      <c r="H228" s="212"/>
      <c r="I228" s="212"/>
      <c r="J228" s="212"/>
      <c r="K228" s="71"/>
      <c r="L228" s="71"/>
      <c r="M228" s="71"/>
      <c r="N228" s="71"/>
      <c r="O228" s="71"/>
      <c r="Q228" s="1"/>
    </row>
    <row r="230" spans="2:17" ht="12.95" customHeight="1" x14ac:dyDescent="0.2">
      <c r="B230" s="24" t="s">
        <v>196</v>
      </c>
    </row>
    <row r="231" spans="2:17" ht="12.95" customHeight="1" x14ac:dyDescent="0.2">
      <c r="B231" s="1" t="s">
        <v>122</v>
      </c>
      <c r="K231" s="16"/>
      <c r="L231" s="16"/>
      <c r="M231" s="16"/>
      <c r="N231" s="16"/>
      <c r="O231" s="16"/>
    </row>
    <row r="232" spans="2:17" ht="12.95" customHeight="1" x14ac:dyDescent="0.2">
      <c r="B232" s="1" t="s">
        <v>123</v>
      </c>
      <c r="K232" s="16"/>
      <c r="L232" s="16"/>
      <c r="M232" s="16"/>
      <c r="N232" s="16"/>
      <c r="O232" s="16"/>
    </row>
    <row r="233" spans="2:17" s="76" customFormat="1" ht="12.95" customHeight="1" x14ac:dyDescent="0.2">
      <c r="B233" s="20" t="s">
        <v>75</v>
      </c>
      <c r="C233" s="21"/>
      <c r="D233" s="21"/>
      <c r="E233" s="21"/>
      <c r="F233" s="21"/>
      <c r="G233" s="21"/>
      <c r="H233" s="21"/>
      <c r="I233" s="21"/>
      <c r="J233" s="21"/>
      <c r="K233" s="22"/>
      <c r="L233" s="22"/>
      <c r="M233" s="22"/>
      <c r="N233" s="22"/>
      <c r="O233" s="23"/>
      <c r="Q233" s="1"/>
    </row>
    <row r="235" spans="2:17" ht="12.95" customHeight="1" x14ac:dyDescent="0.2">
      <c r="B235" s="1" t="s">
        <v>76</v>
      </c>
      <c r="H235" s="38"/>
      <c r="I235" s="38"/>
      <c r="J235" s="38"/>
      <c r="K235" s="16"/>
      <c r="L235" s="16"/>
      <c r="M235" s="16"/>
      <c r="N235" s="16"/>
      <c r="O235" s="16"/>
    </row>
    <row r="236" spans="2:17" ht="12.95" customHeight="1" x14ac:dyDescent="0.2">
      <c r="B236" s="4" t="s">
        <v>77</v>
      </c>
      <c r="C236" s="4"/>
      <c r="D236" s="4"/>
      <c r="E236" s="4"/>
      <c r="F236" s="4"/>
      <c r="G236" s="4"/>
      <c r="H236" s="150"/>
      <c r="I236" s="150"/>
      <c r="J236" s="150"/>
      <c r="K236" s="35"/>
      <c r="L236" s="35"/>
      <c r="M236" s="35"/>
      <c r="N236" s="35"/>
      <c r="O236" s="35"/>
    </row>
    <row r="237" spans="2:17" ht="12.95" customHeight="1" x14ac:dyDescent="0.2">
      <c r="B237" s="4" t="s">
        <v>78</v>
      </c>
      <c r="C237" s="4"/>
      <c r="D237" s="4"/>
      <c r="E237" s="4"/>
      <c r="F237" s="4"/>
      <c r="G237" s="4"/>
      <c r="H237" s="150"/>
      <c r="I237" s="150"/>
      <c r="J237" s="150"/>
      <c r="K237" s="35"/>
      <c r="L237" s="35"/>
      <c r="M237" s="35"/>
      <c r="N237" s="35"/>
      <c r="O237" s="35"/>
    </row>
    <row r="238" spans="2:17" s="76" customFormat="1" ht="12.95" customHeight="1" x14ac:dyDescent="0.2">
      <c r="B238" s="20" t="s">
        <v>86</v>
      </c>
      <c r="C238" s="21"/>
      <c r="D238" s="21"/>
      <c r="E238" s="21"/>
      <c r="F238" s="21"/>
      <c r="G238" s="21"/>
      <c r="H238" s="172"/>
      <c r="I238" s="172"/>
      <c r="J238" s="172"/>
      <c r="K238" s="22"/>
      <c r="L238" s="22"/>
      <c r="M238" s="22"/>
      <c r="N238" s="22"/>
      <c r="O238" s="23"/>
      <c r="Q238" s="1"/>
    </row>
    <row r="240" spans="2:17" s="76" customFormat="1" ht="12.95" customHeight="1" x14ac:dyDescent="0.2">
      <c r="B240" s="24" t="s">
        <v>79</v>
      </c>
    </row>
    <row r="241" spans="1:17" ht="12.95" customHeight="1" x14ac:dyDescent="0.2">
      <c r="B241" s="1" t="str">
        <f>+B159</f>
        <v>Revolving Credit Facility</v>
      </c>
      <c r="K241" s="16"/>
      <c r="L241" s="16"/>
      <c r="M241" s="16"/>
      <c r="N241" s="16"/>
      <c r="O241" s="16"/>
      <c r="Q241" s="174"/>
    </row>
    <row r="242" spans="1:17" ht="12.95" customHeight="1" x14ac:dyDescent="0.2">
      <c r="B242" s="1" t="str">
        <f>+B160</f>
        <v>First Lien Term Loan</v>
      </c>
      <c r="K242" s="16"/>
      <c r="L242" s="16"/>
      <c r="M242" s="16"/>
      <c r="N242" s="16"/>
      <c r="O242" s="16"/>
      <c r="Q242" s="4"/>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c r="L245" s="71"/>
      <c r="M245" s="71"/>
      <c r="N245" s="71"/>
      <c r="O245" s="71"/>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c r="L254" s="54"/>
      <c r="M254" s="54"/>
      <c r="N254" s="54"/>
      <c r="O254" s="54"/>
      <c r="Q254" s="174"/>
    </row>
    <row r="255" spans="1:17" ht="12.95" customHeight="1" x14ac:dyDescent="0.2">
      <c r="B255" s="3" t="s">
        <v>94</v>
      </c>
      <c r="C255" s="3"/>
      <c r="D255" s="3"/>
      <c r="E255" s="3"/>
      <c r="F255" s="3"/>
      <c r="G255" s="3"/>
      <c r="H255" s="3"/>
      <c r="I255" s="3"/>
      <c r="J255" s="3"/>
      <c r="K255" s="66"/>
      <c r="L255" s="66"/>
      <c r="M255" s="66"/>
      <c r="N255" s="66"/>
      <c r="O255" s="66"/>
      <c r="Q255" s="174"/>
    </row>
    <row r="256" spans="1:17" ht="12.95" customHeight="1" x14ac:dyDescent="0.2">
      <c r="B256" s="69" t="s">
        <v>192</v>
      </c>
      <c r="C256" s="69"/>
      <c r="D256" s="69"/>
      <c r="E256" s="69"/>
      <c r="F256" s="69"/>
      <c r="G256" s="69"/>
      <c r="H256" s="69"/>
      <c r="I256" s="69"/>
      <c r="J256" s="69"/>
      <c r="K256" s="71"/>
      <c r="L256" s="71"/>
      <c r="M256" s="71"/>
      <c r="N256" s="71"/>
      <c r="O256" s="71"/>
      <c r="Q256" s="174"/>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c r="K258" s="35"/>
      <c r="L258" s="35"/>
      <c r="M258" s="35"/>
      <c r="N258" s="35"/>
      <c r="O258" s="35"/>
      <c r="Q258" s="174"/>
    </row>
    <row r="259" spans="2:17" s="4" customFormat="1" ht="12.95" customHeight="1" x14ac:dyDescent="0.2">
      <c r="B259" s="4" t="s">
        <v>149</v>
      </c>
      <c r="G259" s="4" t="s">
        <v>96</v>
      </c>
      <c r="I259" s="217">
        <v>350</v>
      </c>
      <c r="K259" s="55"/>
      <c r="L259" s="55"/>
      <c r="M259" s="55"/>
      <c r="N259" s="55"/>
      <c r="O259" s="55"/>
      <c r="Q259" s="174"/>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74"/>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row>
    <row r="268" spans="2:17" s="4" customFormat="1" ht="12.95" customHeight="1" x14ac:dyDescent="0.2">
      <c r="B268" s="33" t="s">
        <v>92</v>
      </c>
      <c r="G268" s="4" t="s">
        <v>97</v>
      </c>
      <c r="I268" s="219">
        <v>0.02</v>
      </c>
      <c r="K268" s="35"/>
      <c r="L268" s="35"/>
      <c r="M268" s="35"/>
      <c r="N268" s="35"/>
      <c r="O268" s="35"/>
    </row>
    <row r="269" spans="2:17" ht="12.95" customHeight="1" x14ac:dyDescent="0.2">
      <c r="B269" s="3" t="s">
        <v>89</v>
      </c>
      <c r="C269" s="3"/>
      <c r="D269" s="3"/>
      <c r="E269" s="3"/>
      <c r="F269" s="3"/>
      <c r="G269" s="3"/>
      <c r="H269" s="3"/>
      <c r="I269" s="3"/>
      <c r="J269" s="3"/>
      <c r="K269" s="66"/>
      <c r="L269" s="66"/>
      <c r="M269" s="66"/>
      <c r="N269" s="66"/>
      <c r="O269" s="66"/>
      <c r="Q269" s="4"/>
    </row>
    <row r="270" spans="2:17" ht="12.95" customHeight="1" x14ac:dyDescent="0.2">
      <c r="B270" s="69" t="s">
        <v>192</v>
      </c>
      <c r="C270" s="69"/>
      <c r="D270" s="69"/>
      <c r="E270" s="69"/>
      <c r="F270" s="69"/>
      <c r="G270" s="69"/>
      <c r="H270" s="4"/>
      <c r="I270" s="69"/>
      <c r="J270" s="69"/>
      <c r="K270" s="71"/>
      <c r="L270" s="71"/>
      <c r="M270" s="71"/>
      <c r="N270" s="71"/>
      <c r="O270" s="71"/>
      <c r="Q270" s="4"/>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4"/>
    </row>
    <row r="273" spans="2:17" ht="12.95" customHeight="1" x14ac:dyDescent="0.2">
      <c r="B273" s="1" t="s">
        <v>149</v>
      </c>
      <c r="G273" s="4" t="s">
        <v>96</v>
      </c>
      <c r="I273" s="218">
        <v>350</v>
      </c>
      <c r="K273" s="55"/>
      <c r="L273" s="55"/>
      <c r="M273" s="55"/>
      <c r="N273" s="55"/>
      <c r="O273" s="55"/>
      <c r="Q273" s="4"/>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20" ht="12.95" customHeight="1" x14ac:dyDescent="0.35">
      <c r="K321" s="10" t="str">
        <f>+$K$32</f>
        <v>Fiscal Year Ended 12/31</v>
      </c>
      <c r="L321" s="11"/>
      <c r="M321" s="11"/>
      <c r="N321" s="11"/>
      <c r="O321" s="11"/>
    </row>
    <row r="322" spans="2:20" ht="12.95" customHeight="1" x14ac:dyDescent="0.2">
      <c r="K322" s="13">
        <f>+K138</f>
        <v>2020</v>
      </c>
      <c r="L322" s="13">
        <f>+K322+1</f>
        <v>2021</v>
      </c>
      <c r="M322" s="13">
        <f>+L322+1</f>
        <v>2022</v>
      </c>
      <c r="N322" s="13">
        <f>+M322+1</f>
        <v>2023</v>
      </c>
      <c r="O322" s="13">
        <f>+N322+1</f>
        <v>2024</v>
      </c>
    </row>
    <row r="323" spans="2:20" ht="12.95" customHeight="1" x14ac:dyDescent="0.2">
      <c r="B323" s="1" t="s">
        <v>35</v>
      </c>
      <c r="K323" s="54"/>
      <c r="L323" s="54"/>
      <c r="M323" s="54"/>
      <c r="N323" s="54"/>
      <c r="O323" s="54"/>
    </row>
    <row r="324" spans="2:20" ht="12.95" customHeight="1" x14ac:dyDescent="0.2">
      <c r="B324" s="4" t="s">
        <v>200</v>
      </c>
      <c r="C324" s="4"/>
      <c r="D324" s="4"/>
      <c r="E324" s="4"/>
      <c r="F324" s="4"/>
      <c r="G324" s="4"/>
      <c r="H324" s="4"/>
      <c r="I324" s="4"/>
      <c r="J324" s="4"/>
      <c r="K324" s="253"/>
      <c r="L324" s="253"/>
      <c r="M324" s="253"/>
      <c r="N324" s="253"/>
      <c r="O324" s="253"/>
    </row>
    <row r="325" spans="2:20" ht="12.95" customHeight="1" x14ac:dyDescent="0.2">
      <c r="B325" s="226" t="s">
        <v>201</v>
      </c>
      <c r="C325" s="226"/>
      <c r="D325" s="226"/>
      <c r="E325" s="226"/>
      <c r="F325" s="226"/>
      <c r="G325" s="226"/>
      <c r="H325" s="226"/>
      <c r="I325" s="226"/>
      <c r="J325" s="226"/>
      <c r="K325" s="37"/>
      <c r="L325" s="37"/>
      <c r="M325" s="37"/>
      <c r="N325" s="37"/>
      <c r="O325" s="37"/>
    </row>
    <row r="326" spans="2:20" ht="12.95" customHeight="1" x14ac:dyDescent="0.2">
      <c r="B326" s="1" t="s">
        <v>202</v>
      </c>
      <c r="K326" s="16"/>
      <c r="L326" s="16"/>
      <c r="M326" s="16"/>
      <c r="N326" s="16"/>
      <c r="O326" s="16"/>
    </row>
    <row r="327" spans="2:20" ht="12.95" customHeight="1" x14ac:dyDescent="0.2">
      <c r="B327" s="4" t="s">
        <v>203</v>
      </c>
      <c r="C327" s="4"/>
      <c r="D327" s="4"/>
      <c r="E327" s="4"/>
      <c r="F327" s="4"/>
      <c r="G327" s="4"/>
      <c r="H327" s="4"/>
      <c r="I327" s="4"/>
      <c r="J327" s="4"/>
      <c r="K327" s="35"/>
      <c r="L327" s="35"/>
      <c r="M327" s="35"/>
      <c r="N327" s="35"/>
      <c r="O327" s="35"/>
    </row>
    <row r="328" spans="2:20" ht="12.95" customHeight="1" x14ac:dyDescent="0.2">
      <c r="B328" s="226" t="s">
        <v>204</v>
      </c>
      <c r="C328" s="226"/>
      <c r="D328" s="226"/>
      <c r="E328" s="226"/>
      <c r="F328" s="226"/>
      <c r="G328" s="226"/>
      <c r="H328" s="226"/>
      <c r="I328" s="226"/>
      <c r="J328" s="226"/>
      <c r="K328" s="37"/>
      <c r="L328" s="37"/>
      <c r="M328" s="37"/>
      <c r="N328" s="37"/>
      <c r="O328" s="37"/>
    </row>
    <row r="329" spans="2:20" ht="12.95" customHeight="1" x14ac:dyDescent="0.2">
      <c r="B329" s="3" t="s">
        <v>336</v>
      </c>
      <c r="C329" s="3"/>
      <c r="D329" s="3"/>
      <c r="E329" s="3"/>
      <c r="F329" s="3"/>
      <c r="G329" s="3"/>
      <c r="H329" s="3"/>
      <c r="I329" s="3"/>
      <c r="J329" s="3"/>
      <c r="K329" s="66"/>
      <c r="L329" s="66"/>
      <c r="M329" s="66"/>
      <c r="N329" s="66"/>
      <c r="O329" s="66"/>
    </row>
    <row r="330" spans="2:20" ht="12.95" customHeight="1" x14ac:dyDescent="0.2">
      <c r="B330" s="69" t="s">
        <v>207</v>
      </c>
      <c r="C330" s="69"/>
      <c r="D330" s="69"/>
      <c r="E330" s="69"/>
      <c r="F330" s="69"/>
      <c r="G330" s="69"/>
      <c r="H330" s="69"/>
      <c r="I330" s="69"/>
      <c r="J330" s="69"/>
      <c r="K330" s="71"/>
      <c r="L330" s="71"/>
      <c r="M330" s="71"/>
      <c r="N330" s="71"/>
      <c r="O330" s="71"/>
    </row>
    <row r="332" spans="2:20" ht="12.95" customHeight="1" x14ac:dyDescent="0.2">
      <c r="F332" s="1" t="s">
        <v>205</v>
      </c>
      <c r="J332" s="250"/>
      <c r="K332" s="15"/>
      <c r="L332" s="15"/>
      <c r="M332" s="15"/>
      <c r="N332" s="15"/>
      <c r="O332" s="15"/>
    </row>
    <row r="334" spans="2:20" ht="12.95" customHeight="1" x14ac:dyDescent="0.2">
      <c r="F334" s="1" t="s">
        <v>208</v>
      </c>
      <c r="K334" s="254"/>
      <c r="L334" s="254"/>
      <c r="M334" s="254"/>
      <c r="N334" s="254"/>
      <c r="O334" s="254"/>
    </row>
    <row r="335" spans="2:20" customFormat="1" ht="3" customHeight="1" x14ac:dyDescent="0.25">
      <c r="Q335" s="1"/>
      <c r="R335" s="1"/>
      <c r="S335" s="1"/>
      <c r="T335" s="1"/>
    </row>
    <row r="336" spans="2:20"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F6DA1-B074-4790-8426-F5623638A031}">
  <dimension ref="A2:X342"/>
  <sheetViews>
    <sheetView showGridLines="0" topLeftCell="A136" zoomScaleNormal="100" zoomScaleSheetLayoutView="85" workbookViewId="0">
      <selection activeCell="A127" sqref="A127"/>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c r="L139" s="221"/>
      <c r="M139" s="221"/>
      <c r="N139" s="221"/>
      <c r="O139" s="221"/>
      <c r="Q139" s="174" t="s">
        <v>214</v>
      </c>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c r="L140" s="62"/>
      <c r="M140" s="62"/>
      <c r="N140" s="62"/>
      <c r="O140" s="62"/>
      <c r="Q140" s="174" t="s">
        <v>214</v>
      </c>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c r="L141" s="35"/>
      <c r="M141" s="35"/>
      <c r="N141" s="35"/>
      <c r="O141" s="35"/>
      <c r="Q141" s="174" t="s">
        <v>214</v>
      </c>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c r="L142" s="66"/>
      <c r="M142" s="66"/>
      <c r="N142" s="66"/>
      <c r="O142" s="66"/>
      <c r="Q142" s="174" t="s">
        <v>214</v>
      </c>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 si="13">+SUM(J139:J142)</f>
        <v>173.34238992211951</v>
      </c>
      <c r="K143" s="238"/>
      <c r="L143" s="238"/>
      <c r="M143" s="238"/>
      <c r="N143" s="238"/>
      <c r="O143" s="238"/>
      <c r="Q143" s="174" t="s">
        <v>214</v>
      </c>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c r="L145" s="35"/>
      <c r="M145" s="35"/>
      <c r="N145" s="35"/>
      <c r="O145" s="35"/>
      <c r="Q145" s="174" t="s">
        <v>214</v>
      </c>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c r="L146" s="35"/>
      <c r="M146" s="35"/>
      <c r="N146" s="35"/>
      <c r="O146" s="35"/>
      <c r="Q146" s="174" t="s">
        <v>214</v>
      </c>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c r="L147" s="35"/>
      <c r="M147" s="35"/>
      <c r="N147" s="35"/>
      <c r="O147" s="35"/>
      <c r="Q147" s="174" t="s">
        <v>214</v>
      </c>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c r="L148" s="35"/>
      <c r="M148" s="35"/>
      <c r="N148" s="35"/>
      <c r="O148" s="35"/>
      <c r="Q148" s="174" t="s">
        <v>214</v>
      </c>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 si="14">+SUM(J143:J148)</f>
        <v>2119.5265357958901</v>
      </c>
      <c r="K149" s="240"/>
      <c r="L149" s="240"/>
      <c r="M149" s="240"/>
      <c r="N149" s="240"/>
      <c r="O149" s="241"/>
      <c r="Q149" s="174" t="s">
        <v>214</v>
      </c>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c r="L151" s="35"/>
      <c r="M151" s="35"/>
      <c r="N151" s="35"/>
      <c r="O151" s="35"/>
      <c r="Q151" s="174" t="s">
        <v>214</v>
      </c>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c r="L152" s="35"/>
      <c r="M152" s="35"/>
      <c r="N152" s="35"/>
      <c r="O152" s="35"/>
      <c r="Q152" s="174" t="s">
        <v>214</v>
      </c>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c r="L153" s="66"/>
      <c r="M153" s="66"/>
      <c r="N153" s="66"/>
      <c r="O153" s="66"/>
      <c r="Q153" s="174" t="s">
        <v>214</v>
      </c>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 si="15">SUM(J151:J153)</f>
        <v>138.94020209589044</v>
      </c>
      <c r="K154" s="242"/>
      <c r="L154" s="238"/>
      <c r="M154" s="238"/>
      <c r="N154" s="238"/>
      <c r="O154" s="238"/>
      <c r="Q154" s="174" t="s">
        <v>214</v>
      </c>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c r="L156" s="35"/>
      <c r="M156" s="35"/>
      <c r="N156" s="35"/>
      <c r="O156" s="35"/>
      <c r="Q156" s="174" t="s">
        <v>214</v>
      </c>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c r="L159" s="35"/>
      <c r="M159" s="35"/>
      <c r="N159" s="35"/>
      <c r="O159" s="35"/>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c r="L160" s="35"/>
      <c r="M160" s="35"/>
      <c r="N160" s="35"/>
      <c r="O160" s="35"/>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c r="L161" s="35"/>
      <c r="M161" s="35"/>
      <c r="N161" s="35"/>
      <c r="O161" s="35"/>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 si="16">+SUM(J158:J162)</f>
        <v>1070.7766849999996</v>
      </c>
      <c r="K163" s="238"/>
      <c r="L163" s="238"/>
      <c r="M163" s="238"/>
      <c r="N163" s="238"/>
      <c r="O163" s="238"/>
      <c r="Q163" s="174" t="s">
        <v>214</v>
      </c>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c r="L165" s="35"/>
      <c r="M165" s="35"/>
      <c r="N165" s="35"/>
      <c r="O165" s="35"/>
      <c r="Q165" s="174" t="s">
        <v>214</v>
      </c>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 si="17">+SUM(J154,J156,J163,J165)</f>
        <v>2119.5265357958897</v>
      </c>
      <c r="K166" s="22"/>
      <c r="L166" s="22"/>
      <c r="M166" s="22"/>
      <c r="N166" s="22"/>
      <c r="O166" s="23"/>
      <c r="Q166" s="174" t="s">
        <v>214</v>
      </c>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0</v>
      </c>
      <c r="L168" s="175">
        <f t="shared" si="18"/>
        <v>0</v>
      </c>
      <c r="M168" s="175">
        <f t="shared" si="18"/>
        <v>0</v>
      </c>
      <c r="N168" s="175">
        <f t="shared" si="18"/>
        <v>0</v>
      </c>
      <c r="O168" s="175">
        <f t="shared" si="18"/>
        <v>0</v>
      </c>
      <c r="Q168" s="174"/>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c r="F171" s="35"/>
      <c r="G171" s="236"/>
      <c r="H171" s="145"/>
      <c r="I171" s="181"/>
      <c r="J171" s="180"/>
      <c r="K171" s="35"/>
      <c r="L171" s="35"/>
      <c r="M171" s="35"/>
      <c r="N171" s="35"/>
      <c r="O171" s="35"/>
      <c r="Q171" s="174" t="s">
        <v>214</v>
      </c>
    </row>
    <row r="172" spans="2:24" s="4" customFormat="1" ht="12.95" customHeight="1" outlineLevel="1" x14ac:dyDescent="0.2">
      <c r="B172" s="4" t="str">
        <f>+B105</f>
        <v>Cost of Goods Sold (Cost of Sales)</v>
      </c>
      <c r="E172" s="35"/>
      <c r="F172" s="35"/>
      <c r="G172" s="236"/>
      <c r="H172" s="112"/>
      <c r="I172" s="131"/>
      <c r="J172" s="180"/>
      <c r="K172" s="35"/>
      <c r="L172" s="35"/>
      <c r="M172" s="35"/>
      <c r="N172" s="35"/>
      <c r="O172" s="35"/>
      <c r="Q172" s="174" t="s">
        <v>214</v>
      </c>
    </row>
    <row r="173" spans="2:24" s="4" customFormat="1" ht="12.95" customHeight="1" outlineLevel="1" x14ac:dyDescent="0.2">
      <c r="B173" s="3" t="str">
        <f>+B107</f>
        <v>SG&amp;A</v>
      </c>
      <c r="C173" s="3"/>
      <c r="D173" s="3"/>
      <c r="E173" s="66"/>
      <c r="F173" s="66"/>
      <c r="G173" s="237"/>
      <c r="H173" s="115"/>
      <c r="I173" s="133"/>
      <c r="J173" s="182"/>
      <c r="K173" s="66"/>
      <c r="L173" s="66"/>
      <c r="M173" s="66"/>
      <c r="N173" s="66"/>
      <c r="O173" s="66"/>
      <c r="Q173" s="174" t="s">
        <v>214</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t="e">
        <f>+(E140/E171)*365</f>
        <v>#DIV/0!</v>
      </c>
      <c r="F176" s="185" t="e">
        <f>+(F140/F171)*365</f>
        <v>#DIV/0!</v>
      </c>
      <c r="G176" s="186" t="e">
        <f>+(G140/G171)*365</f>
        <v>#DIV/0!</v>
      </c>
      <c r="H176" s="112"/>
      <c r="I176" s="131"/>
      <c r="J176" s="187"/>
      <c r="K176" s="188">
        <v>30</v>
      </c>
      <c r="L176" s="189">
        <v>30</v>
      </c>
      <c r="M176" s="189">
        <v>30</v>
      </c>
      <c r="N176" s="189">
        <v>30</v>
      </c>
      <c r="O176" s="189">
        <v>30</v>
      </c>
    </row>
    <row r="177" spans="1:15" s="4" customFormat="1" ht="12.95" customHeight="1" x14ac:dyDescent="0.2">
      <c r="B177" s="4" t="s">
        <v>54</v>
      </c>
      <c r="E177" s="190">
        <f>+E172/E141</f>
        <v>0</v>
      </c>
      <c r="F177" s="190">
        <f>+F172/F141</f>
        <v>0</v>
      </c>
      <c r="G177" s="191">
        <f>+G172/G141</f>
        <v>0</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t="e">
        <f>+E142/E171</f>
        <v>#DIV/0!</v>
      </c>
      <c r="F178" s="193" t="e">
        <f>+F142/F171</f>
        <v>#DIV/0!</v>
      </c>
      <c r="G178" s="194" t="e">
        <f>+G142/G171</f>
        <v>#DIV/0!</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t="e">
        <f>+(E151/E172)*365</f>
        <v>#DIV/0!</v>
      </c>
      <c r="F181" s="185" t="e">
        <f>+(F151/F172)*365</f>
        <v>#DIV/0!</v>
      </c>
      <c r="G181" s="198" t="e">
        <f>+(G151/G172)*365</f>
        <v>#DIV/0!</v>
      </c>
      <c r="H181" s="112"/>
      <c r="J181" s="199"/>
      <c r="K181" s="189">
        <v>30</v>
      </c>
      <c r="L181" s="189">
        <v>30</v>
      </c>
      <c r="M181" s="189">
        <v>30</v>
      </c>
      <c r="N181" s="189">
        <v>30</v>
      </c>
      <c r="O181" s="189">
        <v>30</v>
      </c>
    </row>
    <row r="182" spans="1:15" s="4" customFormat="1" ht="12.95" customHeight="1" x14ac:dyDescent="0.2">
      <c r="B182" s="4" t="s">
        <v>211</v>
      </c>
      <c r="E182" s="193" t="e">
        <f>+E152/SUM(E172:E173)</f>
        <v>#DIV/0!</v>
      </c>
      <c r="F182" s="193" t="e">
        <f>+F152/SUM(F172:F173)</f>
        <v>#DIV/0!</v>
      </c>
      <c r="G182" s="194" t="e">
        <f>+G152/SUM(G172:G173)</f>
        <v>#DIV/0!</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t="e">
        <f>+E153/E171</f>
        <v>#DIV/0!</v>
      </c>
      <c r="F183" s="193" t="e">
        <f>+F153/F171</f>
        <v>#DIV/0!</v>
      </c>
      <c r="G183" s="194" t="e">
        <f>+G153/G171</f>
        <v>#DIV/0!</v>
      </c>
      <c r="H183" s="112"/>
      <c r="J183" s="195"/>
      <c r="K183" s="134">
        <v>0.05</v>
      </c>
      <c r="L183" s="134">
        <v>0.05</v>
      </c>
      <c r="M183" s="134">
        <v>0.05</v>
      </c>
      <c r="N183" s="134">
        <v>0.05</v>
      </c>
      <c r="O183" s="134">
        <v>0.05</v>
      </c>
    </row>
    <row r="184" spans="1:15" s="4" customFormat="1" ht="12.95" customHeight="1" x14ac:dyDescent="0.2">
      <c r="B184" s="4" t="s">
        <v>120</v>
      </c>
      <c r="E184" s="193" t="e">
        <f>+E156/E171</f>
        <v>#DIV/0!</v>
      </c>
      <c r="F184" s="193" t="e">
        <f>+F156/F171</f>
        <v>#DIV/0!</v>
      </c>
      <c r="G184" s="194" t="e">
        <f>+G156/G171</f>
        <v>#DIV/0!</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0</v>
      </c>
      <c r="L186" s="200">
        <f>+(L143-L139)-L154</f>
        <v>0</v>
      </c>
      <c r="M186" s="200">
        <f>+(M143-M139)-M154</f>
        <v>0</v>
      </c>
      <c r="N186" s="200">
        <f>+(N143-N139)-N154</f>
        <v>0</v>
      </c>
      <c r="O186" s="200">
        <f>+(O143-O139)-O154</f>
        <v>0</v>
      </c>
    </row>
    <row r="187" spans="1:15" s="4" customFormat="1" ht="12.95" customHeight="1" x14ac:dyDescent="0.2">
      <c r="B187" s="3" t="s">
        <v>195</v>
      </c>
      <c r="C187" s="3"/>
      <c r="D187" s="3"/>
      <c r="E187" s="203" t="e">
        <f>+E186/E171</f>
        <v>#DIV/0!</v>
      </c>
      <c r="F187" s="203" t="e">
        <f>+F186/F171</f>
        <v>#DIV/0!</v>
      </c>
      <c r="G187" s="204" t="e">
        <f>+G186/G171</f>
        <v>#DIV/0!</v>
      </c>
      <c r="H187" s="115"/>
      <c r="I187" s="3"/>
      <c r="J187" s="205"/>
      <c r="K187" s="203" t="e">
        <f>+K186/K171</f>
        <v>#DIV/0!</v>
      </c>
      <c r="L187" s="203" t="e">
        <f>+L186/L171</f>
        <v>#DIV/0!</v>
      </c>
      <c r="M187" s="203" t="e">
        <f>+M186/M171</f>
        <v>#DIV/0!</v>
      </c>
      <c r="N187" s="203" t="e">
        <f>+N186/N171</f>
        <v>#DIV/0!</v>
      </c>
      <c r="O187" s="203"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8"/>
      <c r="I193" s="108"/>
      <c r="J193" s="108"/>
      <c r="K193" s="15"/>
      <c r="L193" s="15"/>
      <c r="M193" s="15"/>
      <c r="N193" s="15"/>
      <c r="O193" s="15"/>
    </row>
    <row r="194" spans="2:17" ht="12.95" customHeight="1" x14ac:dyDescent="0.2">
      <c r="B194" s="1" t="s">
        <v>67</v>
      </c>
      <c r="H194" s="38"/>
      <c r="I194" s="38"/>
      <c r="J194" s="38"/>
      <c r="K194" s="16"/>
      <c r="L194" s="16"/>
      <c r="M194" s="16"/>
      <c r="N194" s="16"/>
      <c r="O194" s="16"/>
    </row>
    <row r="195" spans="2:17" ht="12.95" customHeight="1" x14ac:dyDescent="0.2">
      <c r="B195" s="1" t="s">
        <v>145</v>
      </c>
      <c r="H195" s="38"/>
      <c r="I195" s="38"/>
      <c r="J195" s="38"/>
      <c r="K195" s="16"/>
      <c r="L195" s="16"/>
      <c r="M195" s="16"/>
      <c r="N195" s="16"/>
      <c r="O195" s="16"/>
    </row>
    <row r="196" spans="2:17" ht="12.95" customHeight="1" x14ac:dyDescent="0.2">
      <c r="B196" s="1" t="s">
        <v>150</v>
      </c>
      <c r="H196" s="38"/>
      <c r="I196" s="38"/>
      <c r="J196" s="38"/>
      <c r="K196" s="62"/>
      <c r="L196" s="62"/>
      <c r="M196" s="62"/>
      <c r="N196" s="62"/>
      <c r="O196" s="62"/>
    </row>
    <row r="198" spans="2:17" ht="12.95" customHeight="1" x14ac:dyDescent="0.2">
      <c r="B198" s="24" t="s">
        <v>85</v>
      </c>
    </row>
    <row r="199" spans="2:17" ht="12.95" customHeight="1" x14ac:dyDescent="0.2">
      <c r="B199" s="1" t="str">
        <f>+"(Increase) / Decrease in "&amp;B140</f>
        <v>(Increase) / Decrease in Accounts Receivable</v>
      </c>
      <c r="H199" s="38"/>
      <c r="I199" s="38"/>
      <c r="J199" s="38"/>
      <c r="K199" s="16"/>
      <c r="L199" s="16"/>
      <c r="M199" s="16"/>
      <c r="N199" s="16"/>
      <c r="O199" s="16"/>
    </row>
    <row r="200" spans="2:17" ht="12.95" customHeight="1" x14ac:dyDescent="0.2">
      <c r="B200" s="1" t="str">
        <f>+"(Increase) / Decrease in "&amp;B141</f>
        <v>(Increase) / Decrease in Inventories</v>
      </c>
      <c r="H200" s="38"/>
      <c r="I200" s="38"/>
      <c r="J200" s="38"/>
      <c r="K200" s="16"/>
      <c r="L200" s="16"/>
      <c r="M200" s="16"/>
      <c r="N200" s="16"/>
      <c r="O200" s="16"/>
    </row>
    <row r="201" spans="2:17" ht="12.95" customHeight="1" x14ac:dyDescent="0.2">
      <c r="B201" s="1" t="str">
        <f>+"(Increase) / Decrease in "&amp;B142</f>
        <v>(Increase) / Decrease in Prepaid Expenses</v>
      </c>
      <c r="H201" s="38"/>
      <c r="I201" s="38"/>
      <c r="J201" s="38"/>
      <c r="K201" s="16"/>
      <c r="L201" s="16"/>
      <c r="M201" s="16"/>
      <c r="N201" s="16"/>
      <c r="O201" s="16"/>
    </row>
    <row r="202" spans="2:17" ht="12.95" customHeight="1" x14ac:dyDescent="0.2">
      <c r="B202" s="1" t="str">
        <f>+"(Increase) / Decrease in "&amp;B148</f>
        <v>(Increase) / Decrease in Other Long-Term (Operating) Assets</v>
      </c>
      <c r="H202" s="38"/>
      <c r="I202" s="38"/>
      <c r="J202" s="38"/>
      <c r="K202" s="16"/>
      <c r="L202" s="16"/>
      <c r="M202" s="16"/>
      <c r="N202" s="16"/>
      <c r="O202" s="16"/>
    </row>
    <row r="203" spans="2:17" ht="12.95" customHeight="1" x14ac:dyDescent="0.2">
      <c r="B203" s="1" t="str">
        <f>+"Increase / (Decrease) in "&amp;B151</f>
        <v>Increase / (Decrease) in Accounts Payable</v>
      </c>
      <c r="H203" s="38"/>
      <c r="I203" s="38"/>
      <c r="J203" s="38"/>
      <c r="K203" s="16"/>
      <c r="L203" s="16"/>
      <c r="M203" s="16"/>
      <c r="N203" s="16"/>
      <c r="O203" s="16"/>
    </row>
    <row r="204" spans="2:17" ht="12.95" customHeight="1" x14ac:dyDescent="0.2">
      <c r="B204" s="1" t="str">
        <f>+"Increase / (Decrease) in "&amp;B152</f>
        <v>Increase / (Decrease) in Accrued Liabilities</v>
      </c>
      <c r="H204" s="38"/>
      <c r="I204" s="38"/>
      <c r="J204" s="38"/>
      <c r="K204" s="16"/>
      <c r="L204" s="16"/>
      <c r="M204" s="16"/>
      <c r="N204" s="16"/>
      <c r="O204" s="16"/>
    </row>
    <row r="205" spans="2:17" ht="12.95" customHeight="1" x14ac:dyDescent="0.2">
      <c r="B205" s="1" t="str">
        <f>+"Increase / (Decrease) in "&amp;B153</f>
        <v>Increase / (Decrease) in Deferred Revenue</v>
      </c>
      <c r="H205" s="38"/>
      <c r="I205" s="38"/>
      <c r="J205" s="38"/>
      <c r="K205" s="16"/>
      <c r="L205" s="16"/>
      <c r="M205" s="16"/>
      <c r="N205" s="16"/>
      <c r="O205" s="16"/>
    </row>
    <row r="206" spans="2:17" s="4" customFormat="1" ht="12.95" customHeight="1" x14ac:dyDescent="0.2">
      <c r="B206" s="3" t="str">
        <f>+"Increase / (Decrease) in "&amp;B156</f>
        <v>Increase / (Decrease) in Other Long-Term (Operating) Liabilities</v>
      </c>
      <c r="C206" s="3"/>
      <c r="D206" s="3"/>
      <c r="E206" s="3"/>
      <c r="F206" s="3"/>
      <c r="G206" s="3"/>
      <c r="H206" s="153"/>
      <c r="I206" s="153"/>
      <c r="J206" s="153"/>
      <c r="K206" s="66"/>
      <c r="L206" s="66"/>
      <c r="M206" s="66"/>
      <c r="N206" s="66"/>
      <c r="O206" s="66"/>
      <c r="Q206" s="1"/>
    </row>
    <row r="207" spans="2:17" s="4" customFormat="1" ht="12.95" customHeight="1" x14ac:dyDescent="0.2">
      <c r="B207" s="4" t="s">
        <v>68</v>
      </c>
      <c r="H207" s="200"/>
      <c r="I207" s="200"/>
      <c r="J207" s="200"/>
      <c r="K207" s="54"/>
      <c r="L207" s="54"/>
      <c r="M207" s="54"/>
      <c r="N207" s="54"/>
      <c r="O207" s="54"/>
      <c r="Q207" s="1"/>
    </row>
    <row r="208" spans="2:17" s="4" customFormat="1" ht="12.95" customHeight="1" x14ac:dyDescent="0.2"/>
    <row r="209" spans="1:17" s="4" customFormat="1" ht="12.95" customHeight="1" x14ac:dyDescent="0.2">
      <c r="B209" s="207" t="s">
        <v>69</v>
      </c>
      <c r="C209" s="208"/>
      <c r="D209" s="208"/>
      <c r="E209" s="208"/>
      <c r="F209" s="208"/>
      <c r="G209" s="208"/>
      <c r="H209" s="209"/>
      <c r="I209" s="209"/>
      <c r="J209" s="209"/>
      <c r="K209" s="22"/>
      <c r="L209" s="22"/>
      <c r="M209" s="22"/>
      <c r="N209" s="22"/>
      <c r="O209" s="23"/>
      <c r="Q209" s="1"/>
    </row>
    <row r="210" spans="1:17" s="4" customFormat="1" ht="12.95" customHeight="1" x14ac:dyDescent="0.2"/>
    <row r="211" spans="1:17" ht="12.95" customHeight="1" x14ac:dyDescent="0.2">
      <c r="B211" s="24" t="s">
        <v>70</v>
      </c>
    </row>
    <row r="212" spans="1:17" ht="12.95" customHeight="1" x14ac:dyDescent="0.2">
      <c r="B212" s="4" t="s">
        <v>71</v>
      </c>
      <c r="C212" s="4"/>
      <c r="D212" s="4"/>
      <c r="E212" s="4"/>
      <c r="F212" s="4"/>
      <c r="G212" s="4"/>
      <c r="H212" s="200"/>
      <c r="I212" s="200"/>
      <c r="J212" s="200"/>
      <c r="K212" s="54"/>
      <c r="L212" s="54"/>
      <c r="M212" s="54"/>
      <c r="N212" s="54"/>
      <c r="O212" s="54"/>
    </row>
    <row r="213" spans="1:17" s="76" customFormat="1" ht="12.95" customHeight="1" x14ac:dyDescent="0.2">
      <c r="B213" s="20" t="s">
        <v>72</v>
      </c>
      <c r="C213" s="21"/>
      <c r="D213" s="21"/>
      <c r="E213" s="21"/>
      <c r="F213" s="21"/>
      <c r="G213" s="21"/>
      <c r="H213" s="172"/>
      <c r="I213" s="172"/>
      <c r="J213" s="172"/>
      <c r="K213" s="22"/>
      <c r="L213" s="22"/>
      <c r="M213" s="22"/>
      <c r="N213" s="22"/>
      <c r="O213" s="23"/>
      <c r="Q213" s="1"/>
    </row>
    <row r="215" spans="1:17" ht="12.95" customHeight="1" x14ac:dyDescent="0.2">
      <c r="B215" s="24" t="s">
        <v>81</v>
      </c>
    </row>
    <row r="216" spans="1:17" ht="12.95" customHeight="1" x14ac:dyDescent="0.2">
      <c r="B216" s="1" t="s">
        <v>82</v>
      </c>
      <c r="H216" s="25"/>
      <c r="I216" s="25"/>
      <c r="J216" s="25"/>
      <c r="K216" s="16"/>
      <c r="L216" s="16"/>
      <c r="M216" s="16"/>
      <c r="N216" s="16"/>
      <c r="O216" s="16"/>
    </row>
    <row r="217" spans="1:17" ht="12.95" customHeight="1" x14ac:dyDescent="0.2">
      <c r="B217" s="3" t="s">
        <v>83</v>
      </c>
      <c r="C217" s="3"/>
      <c r="D217" s="3"/>
      <c r="E217" s="3"/>
      <c r="F217" s="3"/>
      <c r="G217" s="3"/>
      <c r="H217" s="27"/>
      <c r="I217" s="27"/>
      <c r="J217" s="27"/>
      <c r="K217" s="66"/>
      <c r="L217" s="66"/>
      <c r="M217" s="66"/>
      <c r="N217" s="66"/>
      <c r="O217" s="66"/>
    </row>
    <row r="218" spans="1:17" s="76" customFormat="1" ht="12.95" customHeight="1" x14ac:dyDescent="0.2">
      <c r="B218" s="69" t="s">
        <v>84</v>
      </c>
      <c r="C218" s="69"/>
      <c r="D218" s="69"/>
      <c r="E218" s="69"/>
      <c r="F218" s="69"/>
      <c r="G218" s="69"/>
      <c r="H218" s="210"/>
      <c r="I218" s="210"/>
      <c r="J218" s="210"/>
      <c r="K218" s="71"/>
      <c r="L218" s="71"/>
      <c r="M218" s="71"/>
      <c r="N218" s="71"/>
      <c r="O218" s="71"/>
      <c r="Q218" s="1"/>
    </row>
    <row r="220" spans="1:17" ht="12.95" customHeight="1" x14ac:dyDescent="0.2">
      <c r="B220" s="207" t="s">
        <v>87</v>
      </c>
      <c r="C220" s="208"/>
      <c r="D220" s="208"/>
      <c r="E220" s="208"/>
      <c r="F220" s="208"/>
      <c r="G220" s="208"/>
      <c r="H220" s="209"/>
      <c r="I220" s="209"/>
      <c r="J220" s="209"/>
      <c r="K220" s="22"/>
      <c r="L220" s="22"/>
      <c r="M220" s="22"/>
      <c r="N220" s="22"/>
      <c r="O220" s="2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206"/>
      <c r="M224" s="206"/>
      <c r="N224" s="206"/>
      <c r="O224" s="206"/>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11"/>
      <c r="L227" s="211"/>
      <c r="M227" s="211"/>
      <c r="N227" s="211"/>
      <c r="O227" s="211"/>
    </row>
    <row r="228" spans="2:17" s="76" customFormat="1" ht="12.95" customHeight="1" x14ac:dyDescent="0.2">
      <c r="B228" s="69" t="s">
        <v>74</v>
      </c>
      <c r="C228" s="69"/>
      <c r="D228" s="69"/>
      <c r="E228" s="69"/>
      <c r="F228" s="69"/>
      <c r="G228" s="69"/>
      <c r="H228" s="212"/>
      <c r="I228" s="212"/>
      <c r="J228" s="212"/>
      <c r="K228" s="71"/>
      <c r="L228" s="71"/>
      <c r="M228" s="71"/>
      <c r="N228" s="71"/>
      <c r="O228" s="71"/>
      <c r="Q228" s="1"/>
    </row>
    <row r="230" spans="2:17" ht="12.95" customHeight="1" x14ac:dyDescent="0.2">
      <c r="B230" s="24" t="s">
        <v>196</v>
      </c>
    </row>
    <row r="231" spans="2:17" ht="12.95" customHeight="1" x14ac:dyDescent="0.2">
      <c r="B231" s="1" t="s">
        <v>122</v>
      </c>
      <c r="K231" s="16"/>
      <c r="L231" s="16"/>
      <c r="M231" s="16"/>
      <c r="N231" s="16"/>
      <c r="O231" s="16"/>
    </row>
    <row r="232" spans="2:17" ht="12.95" customHeight="1" x14ac:dyDescent="0.2">
      <c r="B232" s="1" t="s">
        <v>123</v>
      </c>
      <c r="K232" s="16"/>
      <c r="L232" s="16"/>
      <c r="M232" s="16"/>
      <c r="N232" s="16"/>
      <c r="O232" s="16"/>
    </row>
    <row r="233" spans="2:17" s="76" customFormat="1" ht="12.95" customHeight="1" x14ac:dyDescent="0.2">
      <c r="B233" s="20" t="s">
        <v>75</v>
      </c>
      <c r="C233" s="21"/>
      <c r="D233" s="21"/>
      <c r="E233" s="21"/>
      <c r="F233" s="21"/>
      <c r="G233" s="21"/>
      <c r="H233" s="21"/>
      <c r="I233" s="21"/>
      <c r="J233" s="21"/>
      <c r="K233" s="22"/>
      <c r="L233" s="22"/>
      <c r="M233" s="22"/>
      <c r="N233" s="22"/>
      <c r="O233" s="23"/>
      <c r="Q233" s="1"/>
    </row>
    <row r="235" spans="2:17" ht="12.95" customHeight="1" x14ac:dyDescent="0.2">
      <c r="B235" s="1" t="s">
        <v>76</v>
      </c>
      <c r="H235" s="38"/>
      <c r="I235" s="38"/>
      <c r="J235" s="38"/>
      <c r="K235" s="16"/>
      <c r="L235" s="16"/>
      <c r="M235" s="16"/>
      <c r="N235" s="16"/>
      <c r="O235" s="16"/>
    </row>
    <row r="236" spans="2:17" ht="12.95" customHeight="1" x14ac:dyDescent="0.2">
      <c r="B236" s="4" t="s">
        <v>77</v>
      </c>
      <c r="C236" s="4"/>
      <c r="D236" s="4"/>
      <c r="E236" s="4"/>
      <c r="F236" s="4"/>
      <c r="G236" s="4"/>
      <c r="H236" s="150"/>
      <c r="I236" s="150"/>
      <c r="J236" s="150"/>
      <c r="K236" s="35"/>
      <c r="L236" s="35"/>
      <c r="M236" s="35"/>
      <c r="N236" s="35"/>
      <c r="O236" s="35"/>
    </row>
    <row r="237" spans="2:17" ht="12.95" customHeight="1" x14ac:dyDescent="0.2">
      <c r="B237" s="4" t="s">
        <v>78</v>
      </c>
      <c r="C237" s="4"/>
      <c r="D237" s="4"/>
      <c r="E237" s="4"/>
      <c r="F237" s="4"/>
      <c r="G237" s="4"/>
      <c r="H237" s="150"/>
      <c r="I237" s="150"/>
      <c r="J237" s="150"/>
      <c r="K237" s="35"/>
      <c r="L237" s="35"/>
      <c r="M237" s="35"/>
      <c r="N237" s="35"/>
      <c r="O237" s="35"/>
    </row>
    <row r="238" spans="2:17" s="76" customFormat="1" ht="12.95" customHeight="1" x14ac:dyDescent="0.2">
      <c r="B238" s="20" t="s">
        <v>86</v>
      </c>
      <c r="C238" s="21"/>
      <c r="D238" s="21"/>
      <c r="E238" s="21"/>
      <c r="F238" s="21"/>
      <c r="G238" s="21"/>
      <c r="H238" s="172"/>
      <c r="I238" s="172"/>
      <c r="J238" s="172"/>
      <c r="K238" s="22"/>
      <c r="L238" s="22"/>
      <c r="M238" s="22"/>
      <c r="N238" s="22"/>
      <c r="O238" s="23"/>
      <c r="Q238" s="1"/>
    </row>
    <row r="240" spans="2:17" s="76" customFormat="1" ht="12.95" customHeight="1" x14ac:dyDescent="0.2">
      <c r="B240" s="24" t="s">
        <v>79</v>
      </c>
    </row>
    <row r="241" spans="1:17" ht="12.95" customHeight="1" x14ac:dyDescent="0.2">
      <c r="B241" s="1" t="str">
        <f>+B159</f>
        <v>Revolving Credit Facility</v>
      </c>
      <c r="K241" s="16"/>
      <c r="L241" s="16"/>
      <c r="M241" s="16"/>
      <c r="N241" s="16"/>
      <c r="O241" s="16"/>
      <c r="Q241" s="174"/>
    </row>
    <row r="242" spans="1:17" ht="12.95" customHeight="1" x14ac:dyDescent="0.2">
      <c r="B242" s="1" t="str">
        <f>+B160</f>
        <v>First Lien Term Loan</v>
      </c>
      <c r="K242" s="16"/>
      <c r="L242" s="16"/>
      <c r="M242" s="16"/>
      <c r="N242" s="16"/>
      <c r="O242" s="16"/>
      <c r="Q242" s="4"/>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c r="L245" s="71"/>
      <c r="M245" s="71"/>
      <c r="N245" s="71"/>
      <c r="O245" s="71"/>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c r="L254" s="54"/>
      <c r="M254" s="54"/>
      <c r="N254" s="54"/>
      <c r="O254" s="54"/>
      <c r="Q254" s="174"/>
    </row>
    <row r="255" spans="1:17" ht="12.95" customHeight="1" x14ac:dyDescent="0.2">
      <c r="B255" s="3" t="s">
        <v>94</v>
      </c>
      <c r="C255" s="3"/>
      <c r="D255" s="3"/>
      <c r="E255" s="3"/>
      <c r="F255" s="3"/>
      <c r="G255" s="3"/>
      <c r="H255" s="3"/>
      <c r="I255" s="3"/>
      <c r="J255" s="3"/>
      <c r="K255" s="66"/>
      <c r="L255" s="66"/>
      <c r="M255" s="66"/>
      <c r="N255" s="66"/>
      <c r="O255" s="66"/>
      <c r="Q255" s="174"/>
    </row>
    <row r="256" spans="1:17" ht="12.95" customHeight="1" x14ac:dyDescent="0.2">
      <c r="B256" s="69" t="s">
        <v>192</v>
      </c>
      <c r="C256" s="69"/>
      <c r="D256" s="69"/>
      <c r="E256" s="69"/>
      <c r="F256" s="69"/>
      <c r="G256" s="69"/>
      <c r="H256" s="69"/>
      <c r="I256" s="69"/>
      <c r="J256" s="69"/>
      <c r="K256" s="71"/>
      <c r="L256" s="71"/>
      <c r="M256" s="71"/>
      <c r="N256" s="71"/>
      <c r="O256" s="71"/>
      <c r="Q256" s="174"/>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c r="K258" s="35"/>
      <c r="L258" s="35"/>
      <c r="M258" s="35"/>
      <c r="N258" s="35"/>
      <c r="O258" s="35"/>
      <c r="Q258" s="174"/>
    </row>
    <row r="259" spans="2:17" s="4" customFormat="1" ht="12.95" customHeight="1" x14ac:dyDescent="0.2">
      <c r="B259" s="4" t="s">
        <v>149</v>
      </c>
      <c r="G259" s="4" t="s">
        <v>96</v>
      </c>
      <c r="I259" s="217">
        <v>350</v>
      </c>
      <c r="K259" s="55"/>
      <c r="L259" s="55"/>
      <c r="M259" s="55"/>
      <c r="N259" s="55"/>
      <c r="O259" s="55"/>
      <c r="Q259" s="174"/>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74"/>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row>
    <row r="268" spans="2:17" s="4" customFormat="1" ht="12.95" customHeight="1" x14ac:dyDescent="0.2">
      <c r="B268" s="33" t="s">
        <v>92</v>
      </c>
      <c r="G268" s="4" t="s">
        <v>97</v>
      </c>
      <c r="I268" s="219">
        <v>0.02</v>
      </c>
      <c r="K268" s="35"/>
      <c r="L268" s="35"/>
      <c r="M268" s="35"/>
      <c r="N268" s="35"/>
      <c r="O268" s="35"/>
    </row>
    <row r="269" spans="2:17" ht="12.95" customHeight="1" x14ac:dyDescent="0.2">
      <c r="B269" s="3" t="s">
        <v>89</v>
      </c>
      <c r="C269" s="3"/>
      <c r="D269" s="3"/>
      <c r="E269" s="3"/>
      <c r="F269" s="3"/>
      <c r="G269" s="3"/>
      <c r="H269" s="3"/>
      <c r="I269" s="3"/>
      <c r="J269" s="3"/>
      <c r="K269" s="66"/>
      <c r="L269" s="66"/>
      <c r="M269" s="66"/>
      <c r="N269" s="66"/>
      <c r="O269" s="66"/>
      <c r="Q269" s="4"/>
    </row>
    <row r="270" spans="2:17" ht="12.95" customHeight="1" x14ac:dyDescent="0.2">
      <c r="B270" s="69" t="s">
        <v>192</v>
      </c>
      <c r="C270" s="69"/>
      <c r="D270" s="69"/>
      <c r="E270" s="69"/>
      <c r="F270" s="69"/>
      <c r="G270" s="69"/>
      <c r="H270" s="4"/>
      <c r="I270" s="69"/>
      <c r="J270" s="69"/>
      <c r="K270" s="71"/>
      <c r="L270" s="71"/>
      <c r="M270" s="71"/>
      <c r="N270" s="71"/>
      <c r="O270" s="71"/>
      <c r="Q270" s="4"/>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4"/>
    </row>
    <row r="273" spans="2:17" ht="12.95" customHeight="1" x14ac:dyDescent="0.2">
      <c r="B273" s="1" t="s">
        <v>149</v>
      </c>
      <c r="G273" s="4" t="s">
        <v>96</v>
      </c>
      <c r="I273" s="218">
        <v>350</v>
      </c>
      <c r="K273" s="55"/>
      <c r="L273" s="55"/>
      <c r="M273" s="55"/>
      <c r="N273" s="55"/>
      <c r="O273" s="55"/>
      <c r="Q273" s="4"/>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K323" s="54"/>
      <c r="L323" s="54"/>
      <c r="M323" s="54"/>
      <c r="N323" s="54"/>
      <c r="O323" s="54"/>
    </row>
    <row r="324" spans="2:17" ht="12.95" customHeight="1" x14ac:dyDescent="0.2">
      <c r="B324" s="4" t="s">
        <v>200</v>
      </c>
      <c r="C324" s="4"/>
      <c r="D324" s="4"/>
      <c r="E324" s="4"/>
      <c r="F324" s="4"/>
      <c r="G324" s="4"/>
      <c r="H324" s="4"/>
      <c r="I324" s="4"/>
      <c r="J324" s="4"/>
      <c r="K324" s="253"/>
      <c r="L324" s="253"/>
      <c r="M324" s="253"/>
      <c r="N324" s="253"/>
      <c r="O324" s="253"/>
    </row>
    <row r="325" spans="2:17" ht="12.95" customHeight="1" x14ac:dyDescent="0.2">
      <c r="B325" s="226" t="s">
        <v>201</v>
      </c>
      <c r="C325" s="226"/>
      <c r="D325" s="226"/>
      <c r="E325" s="226"/>
      <c r="F325" s="226"/>
      <c r="G325" s="226"/>
      <c r="H325" s="226"/>
      <c r="I325" s="226"/>
      <c r="J325" s="226"/>
      <c r="K325" s="37"/>
      <c r="L325" s="37"/>
      <c r="M325" s="37"/>
      <c r="N325" s="37"/>
      <c r="O325" s="37"/>
    </row>
    <row r="326" spans="2:17" ht="12.95" customHeight="1" x14ac:dyDescent="0.2">
      <c r="B326" s="1" t="s">
        <v>202</v>
      </c>
      <c r="K326" s="16"/>
      <c r="L326" s="16"/>
      <c r="M326" s="16"/>
      <c r="N326" s="16"/>
      <c r="O326" s="16"/>
    </row>
    <row r="327" spans="2:17" ht="12.95" customHeight="1" x14ac:dyDescent="0.2">
      <c r="B327" s="4" t="s">
        <v>203</v>
      </c>
      <c r="C327" s="4"/>
      <c r="D327" s="4"/>
      <c r="E327" s="4"/>
      <c r="F327" s="4"/>
      <c r="G327" s="4"/>
      <c r="H327" s="4"/>
      <c r="I327" s="4"/>
      <c r="J327" s="4"/>
      <c r="K327" s="35"/>
      <c r="L327" s="35"/>
      <c r="M327" s="35"/>
      <c r="N327" s="35"/>
      <c r="O327" s="35"/>
    </row>
    <row r="328" spans="2:17" ht="12.95" customHeight="1" x14ac:dyDescent="0.2">
      <c r="B328" s="226" t="s">
        <v>204</v>
      </c>
      <c r="C328" s="226"/>
      <c r="D328" s="226"/>
      <c r="E328" s="226"/>
      <c r="F328" s="226"/>
      <c r="G328" s="226"/>
      <c r="H328" s="226"/>
      <c r="I328" s="226"/>
      <c r="J328" s="226"/>
      <c r="K328" s="37"/>
      <c r="L328" s="37"/>
      <c r="M328" s="37"/>
      <c r="N328" s="37"/>
      <c r="O328" s="37"/>
    </row>
    <row r="329" spans="2:17" ht="12.95" customHeight="1" x14ac:dyDescent="0.2">
      <c r="B329" s="3" t="s">
        <v>336</v>
      </c>
      <c r="C329" s="3"/>
      <c r="D329" s="3"/>
      <c r="E329" s="3"/>
      <c r="F329" s="3"/>
      <c r="G329" s="3"/>
      <c r="H329" s="3"/>
      <c r="I329" s="3"/>
      <c r="J329" s="3"/>
      <c r="K329" s="66"/>
      <c r="L329" s="66"/>
      <c r="M329" s="66"/>
      <c r="N329" s="66"/>
      <c r="O329" s="66"/>
    </row>
    <row r="330" spans="2:17" ht="12.95" customHeight="1" x14ac:dyDescent="0.2">
      <c r="B330" s="69" t="s">
        <v>207</v>
      </c>
      <c r="C330" s="69"/>
      <c r="D330" s="69"/>
      <c r="E330" s="69"/>
      <c r="F330" s="69"/>
      <c r="G330" s="69"/>
      <c r="H330" s="69"/>
      <c r="I330" s="69"/>
      <c r="J330" s="69"/>
      <c r="K330" s="71"/>
      <c r="L330" s="71"/>
      <c r="M330" s="71"/>
      <c r="N330" s="71"/>
      <c r="O330" s="71"/>
    </row>
    <row r="332" spans="2:17" ht="12.95" customHeight="1" x14ac:dyDescent="0.2">
      <c r="F332" s="1" t="s">
        <v>205</v>
      </c>
      <c r="J332" s="250"/>
      <c r="K332" s="15"/>
      <c r="L332" s="15"/>
      <c r="M332" s="15"/>
      <c r="N332" s="15"/>
      <c r="O332" s="15"/>
    </row>
    <row r="334" spans="2:17" ht="12.95" customHeight="1" x14ac:dyDescent="0.2">
      <c r="F334" s="1" t="s">
        <v>208</v>
      </c>
      <c r="K334" s="254"/>
      <c r="L334" s="254"/>
      <c r="M334" s="254"/>
      <c r="N334" s="254"/>
      <c r="O334" s="254"/>
    </row>
    <row r="335" spans="2:17" customFormat="1" ht="3" customHeight="1" x14ac:dyDescent="0.25">
      <c r="Q335" s="1"/>
    </row>
    <row r="336" spans="2:17"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3B9E0-BB67-458F-8124-C37DDD7A8458}">
  <dimension ref="A2:X342"/>
  <sheetViews>
    <sheetView showGridLines="0" topLeftCell="A187" zoomScale="115" zoomScaleNormal="115" zoomScaleSheetLayoutView="85" workbookViewId="0">
      <selection activeCell="Q195" sqref="Q195"/>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c r="L139" s="221"/>
      <c r="M139" s="221"/>
      <c r="N139" s="221"/>
      <c r="O139" s="221"/>
      <c r="Q139" s="1"/>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si="13"/>
        <v>182.96286050053121</v>
      </c>
      <c r="L143" s="238">
        <f t="shared" si="13"/>
        <v>195.52950228475203</v>
      </c>
      <c r="M143" s="238">
        <f t="shared" si="13"/>
        <v>208.95895590231126</v>
      </c>
      <c r="N143" s="238">
        <f t="shared" si="13"/>
        <v>223.31043846513344</v>
      </c>
      <c r="O143" s="238">
        <f t="shared" si="13"/>
        <v>238.64722970282941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si="14"/>
        <v>2137.5559154857301</v>
      </c>
      <c r="L149" s="240">
        <f t="shared" si="14"/>
        <v>2153.2616405183794</v>
      </c>
      <c r="M149" s="240">
        <f t="shared" si="14"/>
        <v>2169.662867136642</v>
      </c>
      <c r="N149" s="240">
        <f t="shared" si="14"/>
        <v>2186.7629203555853</v>
      </c>
      <c r="O149" s="241">
        <f t="shared" si="14"/>
        <v>2204.5621827346149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c r="L159" s="35"/>
      <c r="M159" s="35"/>
      <c r="N159" s="35"/>
      <c r="O159" s="35"/>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c r="L160" s="35"/>
      <c r="M160" s="35"/>
      <c r="N160" s="35"/>
      <c r="O160" s="35"/>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c r="L161" s="35"/>
      <c r="M161" s="35"/>
      <c r="N161" s="35"/>
      <c r="O161" s="35"/>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si="16"/>
        <v>0</v>
      </c>
      <c r="L163" s="238">
        <f t="shared" si="16"/>
        <v>0</v>
      </c>
      <c r="M163" s="238">
        <f t="shared" si="16"/>
        <v>0</v>
      </c>
      <c r="N163" s="238">
        <f t="shared" si="16"/>
        <v>0</v>
      </c>
      <c r="O163" s="238">
        <f t="shared" si="16"/>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+J165+K113</f>
        <v>1024.7429196329997</v>
      </c>
      <c r="L165" s="35">
        <f>+K165+L113</f>
        <v>1161.8023720306196</v>
      </c>
      <c r="M165" s="35">
        <f>+L165+M113</f>
        <v>1311.7253341803346</v>
      </c>
      <c r="N165" s="35">
        <f>+M165+N113</f>
        <v>1475.6411061306896</v>
      </c>
      <c r="O165" s="35">
        <f>+N165+O113</f>
        <v>1654.7740587392409</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si="17"/>
        <v>1196.3172886416942</v>
      </c>
      <c r="L166" s="22">
        <f t="shared" si="17"/>
        <v>1344.9535384538547</v>
      </c>
      <c r="M166" s="22">
        <f t="shared" si="17"/>
        <v>1507.2333352480032</v>
      </c>
      <c r="N166" s="22">
        <f t="shared" si="17"/>
        <v>1684.3384579775388</v>
      </c>
      <c r="O166" s="23">
        <f t="shared" si="17"/>
        <v>1877.5492812691241</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1</v>
      </c>
      <c r="L168" s="175">
        <f t="shared" si="18"/>
        <v>1</v>
      </c>
      <c r="M168" s="175">
        <f t="shared" si="18"/>
        <v>1</v>
      </c>
      <c r="N168" s="175">
        <f t="shared" si="18"/>
        <v>1</v>
      </c>
      <c r="O168" s="175">
        <f t="shared" si="18"/>
        <v>1</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22.413878491836641</v>
      </c>
      <c r="L186" s="200">
        <f>+(L143-L139)-L154</f>
        <v>24.17549995151694</v>
      </c>
      <c r="M186" s="200">
        <f>+(M143-M139)-M154</f>
        <v>26.073920410942577</v>
      </c>
      <c r="N186" s="200">
        <f>+(N143-N139)-N154</f>
        <v>28.11965978492529</v>
      </c>
      <c r="O186" s="200">
        <f>+(O143-O139)-O154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+K186/K171</f>
        <v>2.0329334917528644E-2</v>
      </c>
      <c r="L187" s="203">
        <f>+L186/L171</f>
        <v>2.0492636846519387E-2</v>
      </c>
      <c r="M187" s="203">
        <f>+M186/M171</f>
        <v>2.0655938775510207E-2</v>
      </c>
      <c r="N187" s="203">
        <f>+N186/N171</f>
        <v>2.0819240704500967E-2</v>
      </c>
      <c r="O187" s="203">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8"/>
      <c r="I193" s="108"/>
      <c r="J193" s="108"/>
      <c r="K193" s="15"/>
      <c r="L193" s="15"/>
      <c r="M193" s="15"/>
      <c r="N193" s="15"/>
      <c r="O193" s="15"/>
      <c r="Q193" s="1" t="s">
        <v>238</v>
      </c>
    </row>
    <row r="194" spans="2:17" ht="12.95" customHeight="1" x14ac:dyDescent="0.2">
      <c r="B194" s="1" t="s">
        <v>67</v>
      </c>
      <c r="H194" s="38"/>
      <c r="I194" s="38"/>
      <c r="J194" s="38"/>
      <c r="K194" s="16"/>
      <c r="L194" s="16"/>
      <c r="M194" s="16"/>
      <c r="N194" s="16"/>
      <c r="O194" s="16"/>
      <c r="Q194" s="1" t="s">
        <v>239</v>
      </c>
    </row>
    <row r="195" spans="2:17" ht="12.95" customHeight="1" x14ac:dyDescent="0.2">
      <c r="B195" s="1" t="s">
        <v>145</v>
      </c>
      <c r="H195" s="38"/>
      <c r="I195" s="38"/>
      <c r="J195" s="38"/>
      <c r="K195" s="16"/>
      <c r="L195" s="16"/>
      <c r="M195" s="16"/>
      <c r="N195" s="16"/>
      <c r="O195" s="16"/>
      <c r="Q195" s="1" t="s">
        <v>343</v>
      </c>
    </row>
    <row r="196" spans="2:17" ht="12.95" customHeight="1" x14ac:dyDescent="0.2">
      <c r="B196" s="1" t="s">
        <v>150</v>
      </c>
      <c r="H196" s="38"/>
      <c r="I196" s="38"/>
      <c r="J196" s="38"/>
      <c r="K196" s="62"/>
      <c r="L196" s="62"/>
      <c r="M196" s="62"/>
      <c r="N196" s="62"/>
      <c r="O196" s="62"/>
    </row>
    <row r="198" spans="2:17" ht="12.95" customHeight="1" x14ac:dyDescent="0.2">
      <c r="B198" s="24" t="s">
        <v>85</v>
      </c>
    </row>
    <row r="199" spans="2:17" ht="12.95" customHeight="1" x14ac:dyDescent="0.2">
      <c r="B199" s="1" t="str">
        <f>+"(Increase) / Decrease in "&amp;B140</f>
        <v>(Increase) / Decrease in Accounts Receivable</v>
      </c>
      <c r="H199" s="38"/>
      <c r="I199" s="38"/>
      <c r="J199" s="38"/>
      <c r="K199" s="16"/>
      <c r="L199" s="16"/>
      <c r="M199" s="16"/>
      <c r="N199" s="16"/>
      <c r="O199" s="16"/>
      <c r="Q199" s="1" t="s">
        <v>241</v>
      </c>
    </row>
    <row r="200" spans="2:17" ht="12.95" customHeight="1" x14ac:dyDescent="0.2">
      <c r="B200" s="1" t="str">
        <f>+"(Increase) / Decrease in "&amp;B141</f>
        <v>(Increase) / Decrease in Inventories</v>
      </c>
      <c r="H200" s="38"/>
      <c r="I200" s="38"/>
      <c r="J200" s="38"/>
      <c r="K200" s="16"/>
      <c r="L200" s="16"/>
      <c r="M200" s="16"/>
      <c r="N200" s="16"/>
      <c r="O200" s="16"/>
    </row>
    <row r="201" spans="2:17" ht="12.95" customHeight="1" x14ac:dyDescent="0.2">
      <c r="B201" s="1" t="str">
        <f>+"(Increase) / Decrease in "&amp;B142</f>
        <v>(Increase) / Decrease in Prepaid Expenses</v>
      </c>
      <c r="H201" s="38"/>
      <c r="I201" s="38"/>
      <c r="J201" s="38"/>
      <c r="K201" s="16"/>
      <c r="L201" s="16"/>
      <c r="M201" s="16"/>
      <c r="N201" s="16"/>
      <c r="O201" s="16"/>
    </row>
    <row r="202" spans="2:17" ht="12.95" customHeight="1" x14ac:dyDescent="0.2">
      <c r="B202" s="1" t="str">
        <f>+"(Increase) / Decrease in "&amp;B148</f>
        <v>(Increase) / Decrease in Other Long-Term (Operating) Assets</v>
      </c>
      <c r="H202" s="38"/>
      <c r="I202" s="38"/>
      <c r="J202" s="38"/>
      <c r="K202" s="16"/>
      <c r="L202" s="16"/>
      <c r="M202" s="16"/>
      <c r="N202" s="16"/>
      <c r="O202" s="16"/>
    </row>
    <row r="203" spans="2:17" ht="12.95" customHeight="1" x14ac:dyDescent="0.2">
      <c r="B203" s="1" t="str">
        <f>+"Increase / (Decrease) in "&amp;B151</f>
        <v>Increase / (Decrease) in Accounts Payable</v>
      </c>
      <c r="H203" s="38"/>
      <c r="I203" s="38"/>
      <c r="J203" s="38"/>
      <c r="K203" s="16"/>
      <c r="L203" s="16"/>
      <c r="M203" s="16"/>
      <c r="N203" s="16"/>
      <c r="O203" s="16"/>
      <c r="Q203" s="1" t="s">
        <v>322</v>
      </c>
    </row>
    <row r="204" spans="2:17" ht="12.95" customHeight="1" x14ac:dyDescent="0.2">
      <c r="B204" s="1" t="str">
        <f>+"Increase / (Decrease) in "&amp;B152</f>
        <v>Increase / (Decrease) in Accrued Liabilities</v>
      </c>
      <c r="H204" s="38"/>
      <c r="I204" s="38"/>
      <c r="J204" s="38"/>
      <c r="K204" s="16"/>
      <c r="L204" s="16"/>
      <c r="M204" s="16"/>
      <c r="N204" s="16"/>
      <c r="O204" s="16"/>
    </row>
    <row r="205" spans="2:17" ht="12.95" customHeight="1" x14ac:dyDescent="0.2">
      <c r="B205" s="1" t="str">
        <f>+"Increase / (Decrease) in "&amp;B153</f>
        <v>Increase / (Decrease) in Deferred Revenue</v>
      </c>
      <c r="H205" s="38"/>
      <c r="I205" s="38"/>
      <c r="J205" s="38"/>
      <c r="K205" s="16"/>
      <c r="L205" s="16"/>
      <c r="M205" s="16"/>
      <c r="N205" s="16"/>
      <c r="O205" s="16"/>
    </row>
    <row r="206" spans="2:17" s="4" customFormat="1" ht="12.95" customHeight="1" x14ac:dyDescent="0.2">
      <c r="B206" s="3" t="str">
        <f>+"Increase / (Decrease) in "&amp;B156</f>
        <v>Increase / (Decrease) in Other Long-Term (Operating) Liabilities</v>
      </c>
      <c r="C206" s="3"/>
      <c r="D206" s="3"/>
      <c r="E206" s="3"/>
      <c r="F206" s="3"/>
      <c r="G206" s="3"/>
      <c r="H206" s="153"/>
      <c r="I206" s="153"/>
      <c r="J206" s="153"/>
      <c r="K206" s="66"/>
      <c r="L206" s="66"/>
      <c r="M206" s="66"/>
      <c r="N206" s="66"/>
      <c r="O206" s="66"/>
      <c r="Q206" s="1"/>
    </row>
    <row r="207" spans="2:17" s="4" customFormat="1" ht="12.95" customHeight="1" x14ac:dyDescent="0.2">
      <c r="B207" s="4" t="s">
        <v>68</v>
      </c>
      <c r="H207" s="200"/>
      <c r="I207" s="200"/>
      <c r="J207" s="200"/>
      <c r="K207" s="54"/>
      <c r="L207" s="54"/>
      <c r="M207" s="54"/>
      <c r="N207" s="54"/>
      <c r="O207" s="54"/>
      <c r="Q207" s="4" t="s">
        <v>240</v>
      </c>
    </row>
    <row r="208" spans="2:17" s="4" customFormat="1" ht="12.95" customHeight="1" x14ac:dyDescent="0.2"/>
    <row r="209" spans="1:17" s="4" customFormat="1" ht="12.95" customHeight="1" x14ac:dyDescent="0.2">
      <c r="B209" s="207" t="s">
        <v>69</v>
      </c>
      <c r="C209" s="208"/>
      <c r="D209" s="208"/>
      <c r="E209" s="208"/>
      <c r="F209" s="208"/>
      <c r="G209" s="208"/>
      <c r="H209" s="209"/>
      <c r="I209" s="209"/>
      <c r="J209" s="209"/>
      <c r="K209" s="22"/>
      <c r="L209" s="22"/>
      <c r="M209" s="22"/>
      <c r="N209" s="22"/>
      <c r="O209" s="23"/>
      <c r="Q209" s="1" t="s">
        <v>323</v>
      </c>
    </row>
    <row r="210" spans="1:17" s="4" customFormat="1" ht="12.95" customHeight="1" x14ac:dyDescent="0.2"/>
    <row r="211" spans="1:17" ht="12.95" customHeight="1" x14ac:dyDescent="0.2">
      <c r="B211" s="24" t="s">
        <v>70</v>
      </c>
    </row>
    <row r="212" spans="1:17" ht="12.95" customHeight="1" x14ac:dyDescent="0.2">
      <c r="B212" s="4" t="s">
        <v>71</v>
      </c>
      <c r="C212" s="4"/>
      <c r="D212" s="4"/>
      <c r="E212" s="4"/>
      <c r="F212" s="4"/>
      <c r="G212" s="4"/>
      <c r="H212" s="200"/>
      <c r="I212" s="200"/>
      <c r="J212" s="200"/>
      <c r="K212" s="54"/>
      <c r="L212" s="54"/>
      <c r="M212" s="54"/>
      <c r="N212" s="54"/>
      <c r="O212" s="54"/>
      <c r="Q212" s="1" t="s">
        <v>242</v>
      </c>
    </row>
    <row r="213" spans="1:17" s="76" customFormat="1" ht="12.95" customHeight="1" x14ac:dyDescent="0.2">
      <c r="B213" s="20" t="s">
        <v>72</v>
      </c>
      <c r="C213" s="21"/>
      <c r="D213" s="21"/>
      <c r="E213" s="21"/>
      <c r="F213" s="21"/>
      <c r="G213" s="21"/>
      <c r="H213" s="172"/>
      <c r="I213" s="172"/>
      <c r="J213" s="172"/>
      <c r="K213" s="22"/>
      <c r="L213" s="22"/>
      <c r="M213" s="22"/>
      <c r="N213" s="22"/>
      <c r="O213" s="23"/>
      <c r="Q213" s="1" t="s">
        <v>243</v>
      </c>
    </row>
    <row r="215" spans="1:17" ht="12.95" customHeight="1" x14ac:dyDescent="0.2">
      <c r="B215" s="24" t="s">
        <v>81</v>
      </c>
    </row>
    <row r="216" spans="1:17" ht="12.95" customHeight="1" x14ac:dyDescent="0.2">
      <c r="B216" s="1" t="s">
        <v>82</v>
      </c>
      <c r="H216" s="25"/>
      <c r="I216" s="25"/>
      <c r="J216" s="25"/>
      <c r="K216" s="16"/>
      <c r="L216" s="16"/>
      <c r="M216" s="16"/>
      <c r="N216" s="16"/>
      <c r="O216" s="16"/>
    </row>
    <row r="217" spans="1:17" ht="12.95" customHeight="1" x14ac:dyDescent="0.2">
      <c r="B217" s="3" t="s">
        <v>83</v>
      </c>
      <c r="C217" s="3"/>
      <c r="D217" s="3"/>
      <c r="E217" s="3"/>
      <c r="F217" s="3"/>
      <c r="G217" s="3"/>
      <c r="H217" s="27"/>
      <c r="I217" s="27"/>
      <c r="J217" s="27"/>
      <c r="K217" s="66"/>
      <c r="L217" s="66"/>
      <c r="M217" s="66"/>
      <c r="N217" s="66"/>
      <c r="O217" s="66"/>
    </row>
    <row r="218" spans="1:17" s="76" customFormat="1" ht="12.95" customHeight="1" x14ac:dyDescent="0.2">
      <c r="B218" s="69" t="s">
        <v>84</v>
      </c>
      <c r="C218" s="69"/>
      <c r="D218" s="69"/>
      <c r="E218" s="69"/>
      <c r="F218" s="69"/>
      <c r="G218" s="69"/>
      <c r="H218" s="210"/>
      <c r="I218" s="210"/>
      <c r="J218" s="210"/>
      <c r="K218" s="71"/>
      <c r="L218" s="71"/>
      <c r="M218" s="71"/>
      <c r="N218" s="71"/>
      <c r="O218" s="71"/>
      <c r="Q218" s="1" t="s">
        <v>324</v>
      </c>
    </row>
    <row r="220" spans="1:17" ht="12.95" customHeight="1" x14ac:dyDescent="0.2">
      <c r="B220" s="207" t="s">
        <v>87</v>
      </c>
      <c r="C220" s="208"/>
      <c r="D220" s="208"/>
      <c r="E220" s="208"/>
      <c r="F220" s="208"/>
      <c r="G220" s="208"/>
      <c r="H220" s="209"/>
      <c r="I220" s="209"/>
      <c r="J220" s="209"/>
      <c r="K220" s="22"/>
      <c r="L220" s="22"/>
      <c r="M220" s="22"/>
      <c r="N220" s="22"/>
      <c r="O220" s="23"/>
      <c r="Q220" s="1" t="s">
        <v>244</v>
      </c>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206"/>
      <c r="M224" s="206"/>
      <c r="N224" s="206"/>
      <c r="O224" s="206"/>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11"/>
      <c r="L227" s="211"/>
      <c r="M227" s="211"/>
      <c r="N227" s="211"/>
      <c r="O227" s="211"/>
    </row>
    <row r="228" spans="2:17" s="76" customFormat="1" ht="12.95" customHeight="1" x14ac:dyDescent="0.2">
      <c r="B228" s="69" t="s">
        <v>74</v>
      </c>
      <c r="C228" s="69"/>
      <c r="D228" s="69"/>
      <c r="E228" s="69"/>
      <c r="F228" s="69"/>
      <c r="G228" s="69"/>
      <c r="H228" s="212"/>
      <c r="I228" s="212"/>
      <c r="J228" s="212"/>
      <c r="K228" s="71"/>
      <c r="L228" s="71"/>
      <c r="M228" s="71"/>
      <c r="N228" s="71"/>
      <c r="O228" s="71"/>
      <c r="Q228" s="1"/>
    </row>
    <row r="230" spans="2:17" ht="12.95" customHeight="1" x14ac:dyDescent="0.2">
      <c r="B230" s="24" t="s">
        <v>196</v>
      </c>
    </row>
    <row r="231" spans="2:17" ht="12.95" customHeight="1" x14ac:dyDescent="0.2">
      <c r="B231" s="1" t="s">
        <v>122</v>
      </c>
      <c r="K231" s="16"/>
      <c r="L231" s="16"/>
      <c r="M231" s="16"/>
      <c r="N231" s="16"/>
      <c r="O231" s="16"/>
    </row>
    <row r="232" spans="2:17" ht="12.95" customHeight="1" x14ac:dyDescent="0.2">
      <c r="B232" s="1" t="s">
        <v>123</v>
      </c>
      <c r="K232" s="16"/>
      <c r="L232" s="16"/>
      <c r="M232" s="16"/>
      <c r="N232" s="16"/>
      <c r="O232" s="16"/>
    </row>
    <row r="233" spans="2:17" s="76" customFormat="1" ht="12.95" customHeight="1" x14ac:dyDescent="0.2">
      <c r="B233" s="20" t="s">
        <v>75</v>
      </c>
      <c r="C233" s="21"/>
      <c r="D233" s="21"/>
      <c r="E233" s="21"/>
      <c r="F233" s="21"/>
      <c r="G233" s="21"/>
      <c r="H233" s="21"/>
      <c r="I233" s="21"/>
      <c r="J233" s="21"/>
      <c r="K233" s="22"/>
      <c r="L233" s="22"/>
      <c r="M233" s="22"/>
      <c r="N233" s="22"/>
      <c r="O233" s="23"/>
      <c r="Q233" s="1"/>
    </row>
    <row r="235" spans="2:17" ht="12.95" customHeight="1" x14ac:dyDescent="0.2">
      <c r="B235" s="1" t="s">
        <v>76</v>
      </c>
      <c r="H235" s="38"/>
      <c r="I235" s="38"/>
      <c r="J235" s="38"/>
      <c r="K235" s="16"/>
      <c r="L235" s="16"/>
      <c r="M235" s="16"/>
      <c r="N235" s="16"/>
      <c r="O235" s="16"/>
    </row>
    <row r="236" spans="2:17" ht="12.95" customHeight="1" x14ac:dyDescent="0.2">
      <c r="B236" s="4" t="s">
        <v>77</v>
      </c>
      <c r="C236" s="4"/>
      <c r="D236" s="4"/>
      <c r="E236" s="4"/>
      <c r="F236" s="4"/>
      <c r="G236" s="4"/>
      <c r="H236" s="150"/>
      <c r="I236" s="150"/>
      <c r="J236" s="150"/>
      <c r="K236" s="35"/>
      <c r="L236" s="35"/>
      <c r="M236" s="35"/>
      <c r="N236" s="35"/>
      <c r="O236" s="35"/>
    </row>
    <row r="237" spans="2:17" ht="12.95" customHeight="1" x14ac:dyDescent="0.2">
      <c r="B237" s="4" t="s">
        <v>78</v>
      </c>
      <c r="C237" s="4"/>
      <c r="D237" s="4"/>
      <c r="E237" s="4"/>
      <c r="F237" s="4"/>
      <c r="G237" s="4"/>
      <c r="H237" s="150"/>
      <c r="I237" s="150"/>
      <c r="J237" s="150"/>
      <c r="K237" s="35"/>
      <c r="L237" s="35"/>
      <c r="M237" s="35"/>
      <c r="N237" s="35"/>
      <c r="O237" s="35"/>
    </row>
    <row r="238" spans="2:17" s="76" customFormat="1" ht="12.95" customHeight="1" x14ac:dyDescent="0.2">
      <c r="B238" s="20" t="s">
        <v>86</v>
      </c>
      <c r="C238" s="21"/>
      <c r="D238" s="21"/>
      <c r="E238" s="21"/>
      <c r="F238" s="21"/>
      <c r="G238" s="21"/>
      <c r="H238" s="172"/>
      <c r="I238" s="172"/>
      <c r="J238" s="172"/>
      <c r="K238" s="22"/>
      <c r="L238" s="22"/>
      <c r="M238" s="22"/>
      <c r="N238" s="22"/>
      <c r="O238" s="23"/>
      <c r="Q238" s="1"/>
    </row>
    <row r="240" spans="2:17" s="76" customFormat="1" ht="12.95" customHeight="1" x14ac:dyDescent="0.2">
      <c r="B240" s="24" t="s">
        <v>79</v>
      </c>
    </row>
    <row r="241" spans="1:17" ht="12.95" customHeight="1" x14ac:dyDescent="0.2">
      <c r="B241" s="1" t="str">
        <f>+B159</f>
        <v>Revolving Credit Facility</v>
      </c>
      <c r="K241" s="16"/>
      <c r="L241" s="16"/>
      <c r="M241" s="16"/>
      <c r="N241" s="16"/>
      <c r="O241" s="16"/>
      <c r="Q241" s="174"/>
    </row>
    <row r="242" spans="1:17" ht="12.95" customHeight="1" x14ac:dyDescent="0.2">
      <c r="B242" s="1" t="str">
        <f>+B160</f>
        <v>First Lien Term Loan</v>
      </c>
      <c r="K242" s="16"/>
      <c r="L242" s="16"/>
      <c r="M242" s="16"/>
      <c r="N242" s="16"/>
      <c r="O242" s="16"/>
      <c r="Q242" s="4"/>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c r="L245" s="71"/>
      <c r="M245" s="71"/>
      <c r="N245" s="71"/>
      <c r="O245" s="71"/>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c r="L254" s="54"/>
      <c r="M254" s="54"/>
      <c r="N254" s="54"/>
      <c r="O254" s="54"/>
      <c r="Q254" s="174"/>
    </row>
    <row r="255" spans="1:17" ht="12.95" customHeight="1" x14ac:dyDescent="0.2">
      <c r="B255" s="3" t="s">
        <v>94</v>
      </c>
      <c r="C255" s="3"/>
      <c r="D255" s="3"/>
      <c r="E255" s="3"/>
      <c r="F255" s="3"/>
      <c r="G255" s="3"/>
      <c r="H255" s="3"/>
      <c r="I255" s="3"/>
      <c r="J255" s="3"/>
      <c r="K255" s="66"/>
      <c r="L255" s="66"/>
      <c r="M255" s="66"/>
      <c r="N255" s="66"/>
      <c r="O255" s="66"/>
      <c r="Q255" s="174"/>
    </row>
    <row r="256" spans="1:17" ht="12.95" customHeight="1" x14ac:dyDescent="0.2">
      <c r="B256" s="69" t="s">
        <v>192</v>
      </c>
      <c r="C256" s="69"/>
      <c r="D256" s="69"/>
      <c r="E256" s="69"/>
      <c r="F256" s="69"/>
      <c r="G256" s="69"/>
      <c r="H256" s="69"/>
      <c r="I256" s="69"/>
      <c r="J256" s="69"/>
      <c r="K256" s="71"/>
      <c r="L256" s="71"/>
      <c r="M256" s="71"/>
      <c r="N256" s="71"/>
      <c r="O256" s="71"/>
      <c r="Q256" s="174"/>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c r="K258" s="35"/>
      <c r="L258" s="35"/>
      <c r="M258" s="35"/>
      <c r="N258" s="35"/>
      <c r="O258" s="35"/>
      <c r="Q258" s="174"/>
    </row>
    <row r="259" spans="2:17" s="4" customFormat="1" ht="12.95" customHeight="1" x14ac:dyDescent="0.2">
      <c r="B259" s="4" t="s">
        <v>149</v>
      </c>
      <c r="G259" s="4" t="s">
        <v>96</v>
      </c>
      <c r="I259" s="217">
        <v>350</v>
      </c>
      <c r="K259" s="55"/>
      <c r="L259" s="55"/>
      <c r="M259" s="55"/>
      <c r="N259" s="55"/>
      <c r="O259" s="55"/>
      <c r="Q259" s="174"/>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74"/>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row>
    <row r="268" spans="2:17" s="4" customFormat="1" ht="12.95" customHeight="1" x14ac:dyDescent="0.2">
      <c r="B268" s="33" t="s">
        <v>92</v>
      </c>
      <c r="G268" s="4" t="s">
        <v>97</v>
      </c>
      <c r="I268" s="219">
        <v>0.02</v>
      </c>
      <c r="K268" s="35"/>
      <c r="L268" s="35"/>
      <c r="M268" s="35"/>
      <c r="N268" s="35"/>
      <c r="O268" s="35"/>
    </row>
    <row r="269" spans="2:17" ht="12.95" customHeight="1" x14ac:dyDescent="0.2">
      <c r="B269" s="3" t="s">
        <v>89</v>
      </c>
      <c r="C269" s="3"/>
      <c r="D269" s="3"/>
      <c r="E269" s="3"/>
      <c r="F269" s="3"/>
      <c r="G269" s="3"/>
      <c r="H269" s="3"/>
      <c r="I269" s="3"/>
      <c r="J269" s="3"/>
      <c r="K269" s="66"/>
      <c r="L269" s="66"/>
      <c r="M269" s="66"/>
      <c r="N269" s="66"/>
      <c r="O269" s="66"/>
      <c r="Q269" s="4"/>
    </row>
    <row r="270" spans="2:17" ht="12.95" customHeight="1" x14ac:dyDescent="0.2">
      <c r="B270" s="69" t="s">
        <v>192</v>
      </c>
      <c r="C270" s="69"/>
      <c r="D270" s="69"/>
      <c r="E270" s="69"/>
      <c r="F270" s="69"/>
      <c r="G270" s="69"/>
      <c r="H270" s="4"/>
      <c r="I270" s="69"/>
      <c r="J270" s="69"/>
      <c r="K270" s="71"/>
      <c r="L270" s="71"/>
      <c r="M270" s="71"/>
      <c r="N270" s="71"/>
      <c r="O270" s="71"/>
      <c r="Q270" s="4"/>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4"/>
    </row>
    <row r="273" spans="2:17" ht="12.95" customHeight="1" x14ac:dyDescent="0.2">
      <c r="B273" s="1" t="s">
        <v>149</v>
      </c>
      <c r="G273" s="4" t="s">
        <v>96</v>
      </c>
      <c r="I273" s="218">
        <v>350</v>
      </c>
      <c r="K273" s="55"/>
      <c r="L273" s="55"/>
      <c r="M273" s="55"/>
      <c r="N273" s="55"/>
      <c r="O273" s="55"/>
      <c r="Q273" s="4"/>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K322" s="13">
        <f>+K138</f>
        <v>2020</v>
      </c>
      <c r="L322" s="13">
        <f>+K322+1</f>
        <v>2021</v>
      </c>
      <c r="M322" s="13">
        <f>+L322+1</f>
        <v>2022</v>
      </c>
      <c r="N322" s="13">
        <f>+M322+1</f>
        <v>2023</v>
      </c>
      <c r="O322" s="13">
        <f>+N322+1</f>
        <v>2024</v>
      </c>
    </row>
    <row r="323" spans="2:18" ht="12.95" customHeight="1" x14ac:dyDescent="0.2">
      <c r="B323" s="1" t="s">
        <v>35</v>
      </c>
      <c r="K323" s="54"/>
      <c r="L323" s="54"/>
      <c r="M323" s="54"/>
      <c r="N323" s="54"/>
      <c r="O323" s="54"/>
    </row>
    <row r="324" spans="2:18" ht="12.95" customHeight="1" x14ac:dyDescent="0.2">
      <c r="B324" s="4" t="s">
        <v>200</v>
      </c>
      <c r="C324" s="4"/>
      <c r="D324" s="4"/>
      <c r="E324" s="4"/>
      <c r="F324" s="4"/>
      <c r="G324" s="4"/>
      <c r="H324" s="4"/>
      <c r="I324" s="4"/>
      <c r="J324" s="4"/>
      <c r="K324" s="253"/>
      <c r="L324" s="253"/>
      <c r="M324" s="253"/>
      <c r="N324" s="253"/>
      <c r="O324" s="253"/>
    </row>
    <row r="325" spans="2:18" ht="12.95" customHeight="1" x14ac:dyDescent="0.2">
      <c r="B325" s="226" t="s">
        <v>201</v>
      </c>
      <c r="C325" s="226"/>
      <c r="D325" s="226"/>
      <c r="E325" s="226"/>
      <c r="F325" s="226"/>
      <c r="G325" s="226"/>
      <c r="H325" s="226"/>
      <c r="I325" s="226"/>
      <c r="J325" s="226"/>
      <c r="K325" s="37"/>
      <c r="L325" s="37"/>
      <c r="M325" s="37"/>
      <c r="N325" s="37"/>
      <c r="O325" s="37"/>
    </row>
    <row r="326" spans="2:18" ht="12.95" customHeight="1" x14ac:dyDescent="0.2">
      <c r="B326" s="1" t="s">
        <v>202</v>
      </c>
      <c r="K326" s="16"/>
      <c r="L326" s="16"/>
      <c r="M326" s="16"/>
      <c r="N326" s="16"/>
      <c r="O326" s="16"/>
    </row>
    <row r="327" spans="2:18" ht="12.95" customHeight="1" x14ac:dyDescent="0.2">
      <c r="B327" s="4" t="s">
        <v>203</v>
      </c>
      <c r="C327" s="4"/>
      <c r="D327" s="4"/>
      <c r="E327" s="4"/>
      <c r="F327" s="4"/>
      <c r="G327" s="4"/>
      <c r="H327" s="4"/>
      <c r="I327" s="4"/>
      <c r="J327" s="4"/>
      <c r="K327" s="35"/>
      <c r="L327" s="35"/>
      <c r="M327" s="35"/>
      <c r="N327" s="35"/>
      <c r="O327" s="35"/>
    </row>
    <row r="328" spans="2:18" ht="12.95" customHeight="1" x14ac:dyDescent="0.2">
      <c r="B328" s="226" t="s">
        <v>204</v>
      </c>
      <c r="C328" s="226"/>
      <c r="D328" s="226"/>
      <c r="E328" s="226"/>
      <c r="F328" s="226"/>
      <c r="G328" s="226"/>
      <c r="H328" s="226"/>
      <c r="I328" s="226"/>
      <c r="J328" s="226"/>
      <c r="K328" s="37"/>
      <c r="L328" s="37"/>
      <c r="M328" s="37"/>
      <c r="N328" s="37"/>
      <c r="O328" s="37"/>
    </row>
    <row r="329" spans="2:18" ht="12.95" customHeight="1" x14ac:dyDescent="0.2">
      <c r="B329" s="3" t="s">
        <v>336</v>
      </c>
      <c r="C329" s="3"/>
      <c r="D329" s="3"/>
      <c r="E329" s="3"/>
      <c r="F329" s="3"/>
      <c r="G329" s="3"/>
      <c r="H329" s="3"/>
      <c r="I329" s="3"/>
      <c r="J329" s="3"/>
      <c r="K329" s="66"/>
      <c r="L329" s="66"/>
      <c r="M329" s="66"/>
      <c r="N329" s="66"/>
      <c r="O329" s="66"/>
    </row>
    <row r="330" spans="2:18" ht="12.95" customHeight="1" x14ac:dyDescent="0.2">
      <c r="B330" s="69" t="s">
        <v>207</v>
      </c>
      <c r="C330" s="69"/>
      <c r="D330" s="69"/>
      <c r="E330" s="69"/>
      <c r="F330" s="69"/>
      <c r="G330" s="69"/>
      <c r="H330" s="69"/>
      <c r="I330" s="69"/>
      <c r="J330" s="69"/>
      <c r="K330" s="71"/>
      <c r="L330" s="71"/>
      <c r="M330" s="71"/>
      <c r="N330" s="71"/>
      <c r="O330" s="71"/>
    </row>
    <row r="332" spans="2:18" ht="12.95" customHeight="1" x14ac:dyDescent="0.2">
      <c r="F332" s="1" t="s">
        <v>205</v>
      </c>
      <c r="J332" s="250"/>
      <c r="K332" s="15"/>
      <c r="L332" s="15"/>
      <c r="M332" s="15"/>
      <c r="N332" s="15"/>
      <c r="O332" s="15"/>
    </row>
    <row r="334" spans="2:18" ht="12.95" customHeight="1" x14ac:dyDescent="0.2">
      <c r="F334" s="1" t="s">
        <v>208</v>
      </c>
      <c r="K334" s="254"/>
      <c r="L334" s="254"/>
      <c r="M334" s="254"/>
      <c r="N334" s="254"/>
      <c r="O334" s="254"/>
    </row>
    <row r="335" spans="2:18" customFormat="1" ht="3" customHeight="1" x14ac:dyDescent="0.25">
      <c r="Q335" s="1"/>
      <c r="R335" s="1"/>
    </row>
    <row r="336" spans="2:18"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68288-58F4-46D1-93AD-51CDF6839C82}">
  <dimension ref="A2:X342"/>
  <sheetViews>
    <sheetView showGridLines="0" topLeftCell="A220" zoomScale="115" zoomScaleNormal="115" zoomScaleSheetLayoutView="85" workbookViewId="0">
      <selection activeCell="A217" sqref="A217"/>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c r="L139" s="221"/>
      <c r="M139" s="221"/>
      <c r="N139" s="221"/>
      <c r="O139" s="221"/>
      <c r="Q139" s="1"/>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si="13"/>
        <v>182.96286050053121</v>
      </c>
      <c r="L143" s="238">
        <f t="shared" si="13"/>
        <v>195.52950228475203</v>
      </c>
      <c r="M143" s="238">
        <f t="shared" si="13"/>
        <v>208.95895590231126</v>
      </c>
      <c r="N143" s="238">
        <f t="shared" si="13"/>
        <v>223.31043846513344</v>
      </c>
      <c r="O143" s="238">
        <f t="shared" si="13"/>
        <v>238.64722970282941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si="14"/>
        <v>2137.5559154857301</v>
      </c>
      <c r="L149" s="240">
        <f t="shared" si="14"/>
        <v>2153.2616405183794</v>
      </c>
      <c r="M149" s="240">
        <f t="shared" si="14"/>
        <v>2169.662867136642</v>
      </c>
      <c r="N149" s="240">
        <f t="shared" si="14"/>
        <v>2186.7629203555853</v>
      </c>
      <c r="O149" s="241">
        <f t="shared" si="14"/>
        <v>2204.5621827346149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c r="L159" s="35"/>
      <c r="M159" s="35"/>
      <c r="N159" s="35"/>
      <c r="O159" s="35"/>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c r="L160" s="35"/>
      <c r="M160" s="35"/>
      <c r="N160" s="35"/>
      <c r="O160" s="35"/>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c r="L161" s="35"/>
      <c r="M161" s="35"/>
      <c r="N161" s="35"/>
      <c r="O161" s="35"/>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si="16"/>
        <v>0</v>
      </c>
      <c r="L163" s="238">
        <f t="shared" si="16"/>
        <v>0</v>
      </c>
      <c r="M163" s="238">
        <f t="shared" si="16"/>
        <v>0</v>
      </c>
      <c r="N163" s="238">
        <f t="shared" si="16"/>
        <v>0</v>
      </c>
      <c r="O163" s="238">
        <f t="shared" si="16"/>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+J165+K113</f>
        <v>1024.7429196329997</v>
      </c>
      <c r="L165" s="35">
        <f>+K165+L113</f>
        <v>1161.8023720306196</v>
      </c>
      <c r="M165" s="35">
        <f>+L165+M113</f>
        <v>1311.7253341803346</v>
      </c>
      <c r="N165" s="35">
        <f>+M165+N113</f>
        <v>1475.6411061306896</v>
      </c>
      <c r="O165" s="35">
        <f>+N165+O113</f>
        <v>1654.7740587392409</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si="17"/>
        <v>1196.3172886416942</v>
      </c>
      <c r="L166" s="22">
        <f t="shared" si="17"/>
        <v>1344.9535384538547</v>
      </c>
      <c r="M166" s="22">
        <f t="shared" si="17"/>
        <v>1507.2333352480032</v>
      </c>
      <c r="N166" s="22">
        <f t="shared" si="17"/>
        <v>1684.3384579775388</v>
      </c>
      <c r="O166" s="23">
        <f t="shared" si="17"/>
        <v>1877.5492812691241</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1</v>
      </c>
      <c r="L168" s="175">
        <f t="shared" si="18"/>
        <v>1</v>
      </c>
      <c r="M168" s="175">
        <f t="shared" si="18"/>
        <v>1</v>
      </c>
      <c r="N168" s="175">
        <f t="shared" si="18"/>
        <v>1</v>
      </c>
      <c r="O168" s="175">
        <f t="shared" si="18"/>
        <v>1</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22.413878491836641</v>
      </c>
      <c r="L186" s="200">
        <f>+(L143-L139)-L154</f>
        <v>24.17549995151694</v>
      </c>
      <c r="M186" s="200">
        <f>+(M143-M139)-M154</f>
        <v>26.073920410942577</v>
      </c>
      <c r="N186" s="200">
        <f>+(N143-N139)-N154</f>
        <v>28.11965978492529</v>
      </c>
      <c r="O186" s="200">
        <f>+(O143-O139)-O154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+K186/K171</f>
        <v>2.0329334917528644E-2</v>
      </c>
      <c r="L187" s="203">
        <f>+L186/L171</f>
        <v>2.0492636846519387E-2</v>
      </c>
      <c r="M187" s="203">
        <f>+M186/M171</f>
        <v>2.0655938775510207E-2</v>
      </c>
      <c r="N187" s="203">
        <f>+N186/N171</f>
        <v>2.0819240704500967E-2</v>
      </c>
      <c r="O187" s="203">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+K113</f>
        <v>125.23737093299992</v>
      </c>
      <c r="L193" s="15">
        <f>+L113</f>
        <v>137.05945239761996</v>
      </c>
      <c r="M193" s="15">
        <f>+M113</f>
        <v>149.92296214971503</v>
      </c>
      <c r="N193" s="15">
        <f>+N113</f>
        <v>163.91577195035512</v>
      </c>
      <c r="O193" s="15">
        <f>+O113</f>
        <v>179.13295260855125</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c r="L196" s="62"/>
      <c r="M196" s="62"/>
      <c r="N196" s="62"/>
      <c r="O196" s="62"/>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19">+(J140-K140)</f>
        <v>-4.5168657534246393</v>
      </c>
      <c r="L199" s="16">
        <f t="shared" si="19"/>
        <v>-6.3433733424657532</v>
      </c>
      <c r="M199" s="16">
        <f t="shared" si="19"/>
        <v>-6.7874094764383699</v>
      </c>
      <c r="N199" s="16">
        <f t="shared" si="19"/>
        <v>-7.2625281397890546</v>
      </c>
      <c r="O199" s="16">
        <f t="shared" si="19"/>
        <v>-7.7709051095742865</v>
      </c>
    </row>
    <row r="200" spans="2:15" ht="12.95" customHeight="1" x14ac:dyDescent="0.2">
      <c r="B200" s="1" t="str">
        <f>+"(Increase) / Decrease in "&amp;B141</f>
        <v>(Increase) / Decrease in Inventories</v>
      </c>
      <c r="H200" s="38"/>
      <c r="I200" s="38"/>
      <c r="J200" s="38"/>
      <c r="K200" s="16">
        <f t="shared" si="19"/>
        <v>-4.2586686249870525</v>
      </c>
      <c r="L200" s="16">
        <f t="shared" si="19"/>
        <v>-4.2166480077551114</v>
      </c>
      <c r="M200" s="16">
        <f t="shared" si="19"/>
        <v>-4.4949602767408265</v>
      </c>
      <c r="N200" s="16">
        <f t="shared" si="19"/>
        <v>-4.7915746881465395</v>
      </c>
      <c r="O200" s="16">
        <f t="shared" si="19"/>
        <v>-5.1076898117930227</v>
      </c>
    </row>
    <row r="201" spans="2:15" ht="12.95" customHeight="1" x14ac:dyDescent="0.2">
      <c r="B201" s="1" t="str">
        <f>+"(Increase) / Decrease in "&amp;B142</f>
        <v>(Increase) / Decrease in Prepaid Expenses</v>
      </c>
      <c r="H201" s="38"/>
      <c r="I201" s="38"/>
      <c r="J201" s="38"/>
      <c r="K201" s="16">
        <f t="shared" si="19"/>
        <v>-0.84493619999999936</v>
      </c>
      <c r="L201" s="16">
        <f t="shared" si="19"/>
        <v>-2.0066204339999985</v>
      </c>
      <c r="M201" s="16">
        <f t="shared" si="19"/>
        <v>-2.1470838643800079</v>
      </c>
      <c r="N201" s="16">
        <f t="shared" si="19"/>
        <v>-2.2973797348865972</v>
      </c>
      <c r="O201" s="16">
        <f t="shared" si="19"/>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20">+K151-J151</f>
        <v>5.1904433589041119</v>
      </c>
      <c r="L203" s="16">
        <f t="shared" si="20"/>
        <v>3.396423326794519</v>
      </c>
      <c r="M203" s="16">
        <f t="shared" si="20"/>
        <v>3.62059814071727</v>
      </c>
      <c r="N203" s="16">
        <f t="shared" si="20"/>
        <v>3.8595149542878886</v>
      </c>
      <c r="O203" s="16">
        <f t="shared" si="20"/>
        <v>4.1141391908688973</v>
      </c>
    </row>
    <row r="204" spans="2:15" ht="12.95" customHeight="1" x14ac:dyDescent="0.2">
      <c r="B204" s="1" t="str">
        <f>+"Increase / (Decrease) in "&amp;B152</f>
        <v>Increase / (Decrease) in Accrued Liabilities</v>
      </c>
      <c r="H204" s="38"/>
      <c r="I204" s="38"/>
      <c r="J204" s="38"/>
      <c r="K204" s="16">
        <f t="shared" si="20"/>
        <v>5.0838265539000034</v>
      </c>
      <c r="L204" s="16">
        <f t="shared" si="20"/>
        <v>3.5497115477460071</v>
      </c>
      <c r="M204" s="16">
        <f t="shared" si="20"/>
        <v>3.7814275859163331</v>
      </c>
      <c r="N204" s="16">
        <f t="shared" si="20"/>
        <v>4.0281902828465519</v>
      </c>
      <c r="O204" s="16">
        <f t="shared" si="20"/>
        <v>4.2909707621760305</v>
      </c>
    </row>
    <row r="205" spans="2:15" ht="12.95" customHeight="1" x14ac:dyDescent="0.2">
      <c r="B205" s="1" t="str">
        <f>+"Increase / (Decrease) in "&amp;B153</f>
        <v>Increase / (Decrease) in Deferred Revenue</v>
      </c>
      <c r="H205" s="38"/>
      <c r="I205" s="38"/>
      <c r="J205" s="38"/>
      <c r="K205" s="16">
        <f t="shared" si="20"/>
        <v>11.334509999999995</v>
      </c>
      <c r="L205" s="16">
        <f t="shared" si="20"/>
        <v>3.8588854500000025</v>
      </c>
      <c r="M205" s="16">
        <f t="shared" si="20"/>
        <v>4.129007431500014</v>
      </c>
      <c r="N205" s="16">
        <f t="shared" si="20"/>
        <v>4.4180379517050028</v>
      </c>
      <c r="O205" s="16">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+SUM(K193:K196,K207)</f>
        <v>175.29341420596378</v>
      </c>
      <c r="L209" s="22">
        <f>+SUM(L193:L196,L207)</f>
        <v>182.47861395751107</v>
      </c>
      <c r="M209" s="22">
        <f>+SUM(M193:M196,M207)</f>
        <v>199.52617387516088</v>
      </c>
      <c r="N209" s="22">
        <f>+SUM(N193:N196,N207)</f>
        <v>218.08333412714893</v>
      </c>
      <c r="O209" s="23">
        <f>+SUM(O193:O196,O207)</f>
        <v>238.27790571668606</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c r="L216" s="16"/>
      <c r="M216" s="16"/>
      <c r="N216" s="16"/>
      <c r="O216" s="16"/>
    </row>
    <row r="217" spans="1:15" ht="12.95" customHeight="1" x14ac:dyDescent="0.2">
      <c r="B217" s="3" t="s">
        <v>83</v>
      </c>
      <c r="C217" s="3"/>
      <c r="D217" s="3"/>
      <c r="E217" s="3"/>
      <c r="F217" s="3"/>
      <c r="G217" s="3"/>
      <c r="H217" s="27"/>
      <c r="I217" s="27"/>
      <c r="J217" s="27"/>
      <c r="K217" s="66"/>
      <c r="L217" s="66"/>
      <c r="M217" s="66"/>
      <c r="N217" s="66"/>
      <c r="O217" s="66"/>
    </row>
    <row r="218" spans="1:15" s="76" customFormat="1" ht="12.95" customHeight="1" x14ac:dyDescent="0.2">
      <c r="B218" s="69" t="s">
        <v>84</v>
      </c>
      <c r="C218" s="69"/>
      <c r="D218" s="69"/>
      <c r="E218" s="69"/>
      <c r="F218" s="69"/>
      <c r="G218" s="69"/>
      <c r="H218" s="210"/>
      <c r="I218" s="210"/>
      <c r="J218" s="210"/>
      <c r="K218" s="71">
        <f>+SUM(K216:K217)</f>
        <v>0</v>
      </c>
      <c r="L218" s="71">
        <f>+SUM(L216:L217)</f>
        <v>0</v>
      </c>
      <c r="M218" s="71">
        <f>+SUM(M216:M217)</f>
        <v>0</v>
      </c>
      <c r="N218" s="71">
        <f>+SUM(N216:N217)</f>
        <v>0</v>
      </c>
      <c r="O218" s="71">
        <f>+SUM(O216:O217)</f>
        <v>0</v>
      </c>
    </row>
    <row r="220" spans="1:15" ht="12.95" customHeight="1" x14ac:dyDescent="0.2">
      <c r="B220" s="207" t="s">
        <v>87</v>
      </c>
      <c r="C220" s="208"/>
      <c r="D220" s="208"/>
      <c r="E220" s="208"/>
      <c r="F220" s="208"/>
      <c r="G220" s="208"/>
      <c r="H220" s="209"/>
      <c r="I220" s="209"/>
      <c r="J220" s="209"/>
      <c r="K220" s="22">
        <f>+K209+K213+K218</f>
        <v>129.53805815596377</v>
      </c>
      <c r="L220" s="22">
        <f>+L209+L213+L218</f>
        <v>132.93052477951107</v>
      </c>
      <c r="M220" s="22">
        <f>+M209+M213+M218</f>
        <v>145.87857017588587</v>
      </c>
      <c r="N220" s="22">
        <f>+N209+N213+N218</f>
        <v>160.00506951059262</v>
      </c>
      <c r="O220" s="2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11"/>
      <c r="L227" s="211"/>
      <c r="M227" s="211"/>
      <c r="N227" s="211"/>
      <c r="O227" s="211"/>
    </row>
    <row r="228" spans="2:17" s="76" customFormat="1" ht="12.95" customHeight="1" x14ac:dyDescent="0.2">
      <c r="B228" s="69" t="s">
        <v>74</v>
      </c>
      <c r="C228" s="69"/>
      <c r="D228" s="69"/>
      <c r="E228" s="69"/>
      <c r="F228" s="69"/>
      <c r="G228" s="69"/>
      <c r="H228" s="212"/>
      <c r="I228" s="212"/>
      <c r="J228" s="212"/>
      <c r="K228" s="71"/>
      <c r="L228" s="71"/>
      <c r="M228" s="71"/>
      <c r="N228" s="71"/>
      <c r="O228" s="71"/>
      <c r="Q228" s="1" t="s">
        <v>250</v>
      </c>
    </row>
    <row r="230" spans="2:17" ht="12.95" customHeight="1" x14ac:dyDescent="0.2">
      <c r="B230" s="24" t="s">
        <v>196</v>
      </c>
    </row>
    <row r="231" spans="2:17" ht="12.95" customHeight="1" x14ac:dyDescent="0.2">
      <c r="B231" s="1" t="s">
        <v>122</v>
      </c>
      <c r="K231" s="16"/>
      <c r="L231" s="16"/>
      <c r="M231" s="16"/>
      <c r="N231" s="16"/>
      <c r="O231" s="16"/>
      <c r="Q231" s="1" t="s">
        <v>325</v>
      </c>
    </row>
    <row r="232" spans="2:17" ht="12.95" customHeight="1" x14ac:dyDescent="0.2">
      <c r="B232" s="1" t="s">
        <v>123</v>
      </c>
      <c r="K232" s="16"/>
      <c r="L232" s="16"/>
      <c r="M232" s="16"/>
      <c r="N232" s="16"/>
      <c r="O232" s="16"/>
      <c r="Q232" s="1" t="s">
        <v>326</v>
      </c>
    </row>
    <row r="233" spans="2:17" s="76" customFormat="1" ht="12.95" customHeight="1" x14ac:dyDescent="0.2">
      <c r="B233" s="20" t="s">
        <v>75</v>
      </c>
      <c r="C233" s="21"/>
      <c r="D233" s="21"/>
      <c r="E233" s="21"/>
      <c r="F233" s="21"/>
      <c r="G233" s="21"/>
      <c r="H233" s="21"/>
      <c r="I233" s="21"/>
      <c r="J233" s="21"/>
      <c r="K233" s="22"/>
      <c r="L233" s="22"/>
      <c r="M233" s="22"/>
      <c r="N233" s="22"/>
      <c r="O233" s="23"/>
      <c r="Q233" s="1" t="s">
        <v>245</v>
      </c>
    </row>
    <row r="235" spans="2:17" ht="12.95" customHeight="1" x14ac:dyDescent="0.2">
      <c r="B235" s="1" t="s">
        <v>76</v>
      </c>
      <c r="H235" s="38"/>
      <c r="I235" s="38"/>
      <c r="J235" s="38"/>
      <c r="K235" s="16"/>
      <c r="L235" s="16"/>
      <c r="M235" s="16"/>
      <c r="N235" s="16"/>
      <c r="O235" s="16"/>
      <c r="Q235" s="1" t="s">
        <v>327</v>
      </c>
    </row>
    <row r="236" spans="2:17" ht="12.95" customHeight="1" x14ac:dyDescent="0.2">
      <c r="B236" s="4" t="s">
        <v>77</v>
      </c>
      <c r="C236" s="4"/>
      <c r="D236" s="4"/>
      <c r="E236" s="4"/>
      <c r="F236" s="4"/>
      <c r="G236" s="4"/>
      <c r="H236" s="150"/>
      <c r="I236" s="150"/>
      <c r="J236" s="150"/>
      <c r="K236" s="35"/>
      <c r="L236" s="35"/>
      <c r="M236" s="35"/>
      <c r="N236" s="35"/>
      <c r="O236" s="35"/>
      <c r="Q236" s="1" t="s">
        <v>246</v>
      </c>
    </row>
    <row r="237" spans="2:17" ht="12.95" customHeight="1" x14ac:dyDescent="0.2">
      <c r="B237" s="4" t="s">
        <v>78</v>
      </c>
      <c r="C237" s="4"/>
      <c r="D237" s="4"/>
      <c r="E237" s="4"/>
      <c r="F237" s="4"/>
      <c r="G237" s="4"/>
      <c r="H237" s="150"/>
      <c r="I237" s="150"/>
      <c r="J237" s="150"/>
      <c r="K237" s="35"/>
      <c r="L237" s="35"/>
      <c r="M237" s="35"/>
      <c r="N237" s="35"/>
      <c r="O237" s="35"/>
      <c r="Q237" s="1" t="s">
        <v>247</v>
      </c>
    </row>
    <row r="238" spans="2:17" s="76" customFormat="1" ht="12.95" customHeight="1" x14ac:dyDescent="0.2">
      <c r="B238" s="20" t="s">
        <v>86</v>
      </c>
      <c r="C238" s="21"/>
      <c r="D238" s="21"/>
      <c r="E238" s="21"/>
      <c r="F238" s="21"/>
      <c r="G238" s="21"/>
      <c r="H238" s="172"/>
      <c r="I238" s="172"/>
      <c r="J238" s="172"/>
      <c r="K238" s="22"/>
      <c r="L238" s="22"/>
      <c r="M238" s="22"/>
      <c r="N238" s="22"/>
      <c r="O238" s="23"/>
      <c r="Q238" s="1" t="s">
        <v>248</v>
      </c>
    </row>
    <row r="240" spans="2:17" s="76" customFormat="1" ht="12.95" customHeight="1" x14ac:dyDescent="0.2">
      <c r="B240" s="24" t="s">
        <v>79</v>
      </c>
    </row>
    <row r="241" spans="1:17" ht="12.95" customHeight="1" x14ac:dyDescent="0.2">
      <c r="B241" s="1" t="str">
        <f>+B159</f>
        <v>Revolving Credit Facility</v>
      </c>
      <c r="K241" s="16"/>
      <c r="L241" s="16"/>
      <c r="M241" s="16"/>
      <c r="N241" s="16"/>
      <c r="O241" s="16"/>
      <c r="Q241" s="174"/>
    </row>
    <row r="242" spans="1:17" ht="12.95" customHeight="1" x14ac:dyDescent="0.2">
      <c r="B242" s="1" t="str">
        <f>+B160</f>
        <v>First Lien Term Loan</v>
      </c>
      <c r="K242" s="16"/>
      <c r="L242" s="16"/>
      <c r="M242" s="16"/>
      <c r="N242" s="16"/>
      <c r="O242" s="16"/>
      <c r="Q242" s="4"/>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c r="L245" s="71"/>
      <c r="M245" s="71"/>
      <c r="N245" s="71"/>
      <c r="O245" s="71"/>
      <c r="Q245" s="1" t="s">
        <v>249</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c r="L254" s="54"/>
      <c r="M254" s="54"/>
      <c r="N254" s="54"/>
      <c r="O254" s="54"/>
      <c r="Q254" s="174"/>
    </row>
    <row r="255" spans="1:17" ht="12.95" customHeight="1" x14ac:dyDescent="0.2">
      <c r="B255" s="3" t="s">
        <v>94</v>
      </c>
      <c r="C255" s="3"/>
      <c r="D255" s="3"/>
      <c r="E255" s="3"/>
      <c r="F255" s="3"/>
      <c r="G255" s="3"/>
      <c r="H255" s="3"/>
      <c r="I255" s="3"/>
      <c r="J255" s="3"/>
      <c r="K255" s="66"/>
      <c r="L255" s="66"/>
      <c r="M255" s="66"/>
      <c r="N255" s="66"/>
      <c r="O255" s="66"/>
      <c r="Q255" s="174"/>
    </row>
    <row r="256" spans="1:17" ht="12.95" customHeight="1" x14ac:dyDescent="0.2">
      <c r="B256" s="69" t="s">
        <v>192</v>
      </c>
      <c r="C256" s="69"/>
      <c r="D256" s="69"/>
      <c r="E256" s="69"/>
      <c r="F256" s="69"/>
      <c r="G256" s="69"/>
      <c r="H256" s="69"/>
      <c r="I256" s="69"/>
      <c r="J256" s="69"/>
      <c r="K256" s="71"/>
      <c r="L256" s="71"/>
      <c r="M256" s="71"/>
      <c r="N256" s="71"/>
      <c r="O256" s="71"/>
      <c r="Q256" s="174"/>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c r="K258" s="35"/>
      <c r="L258" s="35"/>
      <c r="M258" s="35"/>
      <c r="N258" s="35"/>
      <c r="O258" s="35"/>
      <c r="Q258" s="174"/>
    </row>
    <row r="259" spans="2:17" s="4" customFormat="1" ht="12.95" customHeight="1" x14ac:dyDescent="0.2">
      <c r="B259" s="4" t="s">
        <v>149</v>
      </c>
      <c r="G259" s="4" t="s">
        <v>96</v>
      </c>
      <c r="I259" s="217">
        <v>350</v>
      </c>
      <c r="K259" s="55"/>
      <c r="L259" s="55"/>
      <c r="M259" s="55"/>
      <c r="N259" s="55"/>
      <c r="O259" s="55"/>
      <c r="Q259" s="174"/>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74"/>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row>
    <row r="268" spans="2:17" s="4" customFormat="1" ht="12.95" customHeight="1" x14ac:dyDescent="0.2">
      <c r="B268" s="33" t="s">
        <v>92</v>
      </c>
      <c r="G268" s="4" t="s">
        <v>97</v>
      </c>
      <c r="I268" s="219">
        <v>0.02</v>
      </c>
      <c r="K268" s="35"/>
      <c r="L268" s="35"/>
      <c r="M268" s="35"/>
      <c r="N268" s="35"/>
      <c r="O268" s="35"/>
    </row>
    <row r="269" spans="2:17" ht="12.95" customHeight="1" x14ac:dyDescent="0.2">
      <c r="B269" s="3" t="s">
        <v>89</v>
      </c>
      <c r="C269" s="3"/>
      <c r="D269" s="3"/>
      <c r="E269" s="3"/>
      <c r="F269" s="3"/>
      <c r="G269" s="3"/>
      <c r="H269" s="3"/>
      <c r="I269" s="3"/>
      <c r="J269" s="3"/>
      <c r="K269" s="66"/>
      <c r="L269" s="66"/>
      <c r="M269" s="66"/>
      <c r="N269" s="66"/>
      <c r="O269" s="66"/>
      <c r="Q269" s="4"/>
    </row>
    <row r="270" spans="2:17" ht="12.95" customHeight="1" x14ac:dyDescent="0.2">
      <c r="B270" s="69" t="s">
        <v>192</v>
      </c>
      <c r="C270" s="69"/>
      <c r="D270" s="69"/>
      <c r="E270" s="69"/>
      <c r="F270" s="69"/>
      <c r="G270" s="69"/>
      <c r="H270" s="4"/>
      <c r="I270" s="69"/>
      <c r="J270" s="69"/>
      <c r="K270" s="71"/>
      <c r="L270" s="71"/>
      <c r="M270" s="71"/>
      <c r="N270" s="71"/>
      <c r="O270" s="71"/>
      <c r="Q270" s="4"/>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4"/>
    </row>
    <row r="273" spans="2:17" ht="12.95" customHeight="1" x14ac:dyDescent="0.2">
      <c r="B273" s="1" t="s">
        <v>149</v>
      </c>
      <c r="G273" s="4" t="s">
        <v>96</v>
      </c>
      <c r="I273" s="218">
        <v>350</v>
      </c>
      <c r="K273" s="55"/>
      <c r="L273" s="55"/>
      <c r="M273" s="55"/>
      <c r="N273" s="55"/>
      <c r="O273" s="55"/>
      <c r="Q273" s="4"/>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9" ht="12.95" customHeight="1" x14ac:dyDescent="0.35">
      <c r="K321" s="10" t="str">
        <f>+$K$32</f>
        <v>Fiscal Year Ended 12/31</v>
      </c>
      <c r="L321" s="11"/>
      <c r="M321" s="11"/>
      <c r="N321" s="11"/>
      <c r="O321" s="11"/>
    </row>
    <row r="322" spans="2:19" ht="12.95" customHeight="1" x14ac:dyDescent="0.2">
      <c r="K322" s="13">
        <f>+K138</f>
        <v>2020</v>
      </c>
      <c r="L322" s="13">
        <f>+K322+1</f>
        <v>2021</v>
      </c>
      <c r="M322" s="13">
        <f>+L322+1</f>
        <v>2022</v>
      </c>
      <c r="N322" s="13">
        <f>+M322+1</f>
        <v>2023</v>
      </c>
      <c r="O322" s="13">
        <f>+N322+1</f>
        <v>2024</v>
      </c>
    </row>
    <row r="323" spans="2:19" ht="12.95" customHeight="1" x14ac:dyDescent="0.2">
      <c r="B323" s="1" t="s">
        <v>35</v>
      </c>
      <c r="K323" s="54"/>
      <c r="L323" s="54"/>
      <c r="M323" s="54"/>
      <c r="N323" s="54"/>
      <c r="O323" s="54"/>
    </row>
    <row r="324" spans="2:19" ht="12.95" customHeight="1" x14ac:dyDescent="0.2">
      <c r="B324" s="4" t="s">
        <v>200</v>
      </c>
      <c r="C324" s="4"/>
      <c r="D324" s="4"/>
      <c r="E324" s="4"/>
      <c r="F324" s="4"/>
      <c r="G324" s="4"/>
      <c r="H324" s="4"/>
      <c r="I324" s="4"/>
      <c r="J324" s="4"/>
      <c r="K324" s="253"/>
      <c r="L324" s="253"/>
      <c r="M324" s="253"/>
      <c r="N324" s="253"/>
      <c r="O324" s="253"/>
    </row>
    <row r="325" spans="2:19" ht="12.95" customHeight="1" x14ac:dyDescent="0.2">
      <c r="B325" s="226" t="s">
        <v>201</v>
      </c>
      <c r="C325" s="226"/>
      <c r="D325" s="226"/>
      <c r="E325" s="226"/>
      <c r="F325" s="226"/>
      <c r="G325" s="226"/>
      <c r="H325" s="226"/>
      <c r="I325" s="226"/>
      <c r="J325" s="226"/>
      <c r="K325" s="37"/>
      <c r="L325" s="37"/>
      <c r="M325" s="37"/>
      <c r="N325" s="37"/>
      <c r="O325" s="37"/>
    </row>
    <row r="326" spans="2:19" ht="12.95" customHeight="1" x14ac:dyDescent="0.2">
      <c r="B326" s="1" t="s">
        <v>202</v>
      </c>
      <c r="K326" s="16"/>
      <c r="L326" s="16"/>
      <c r="M326" s="16"/>
      <c r="N326" s="16"/>
      <c r="O326" s="16"/>
    </row>
    <row r="327" spans="2:19" ht="12.95" customHeight="1" x14ac:dyDescent="0.2">
      <c r="B327" s="4" t="s">
        <v>203</v>
      </c>
      <c r="C327" s="4"/>
      <c r="D327" s="4"/>
      <c r="E327" s="4"/>
      <c r="F327" s="4"/>
      <c r="G327" s="4"/>
      <c r="H327" s="4"/>
      <c r="I327" s="4"/>
      <c r="J327" s="4"/>
      <c r="K327" s="35"/>
      <c r="L327" s="35"/>
      <c r="M327" s="35"/>
      <c r="N327" s="35"/>
      <c r="O327" s="35"/>
    </row>
    <row r="328" spans="2:19" ht="12.95" customHeight="1" x14ac:dyDescent="0.2">
      <c r="B328" s="226" t="s">
        <v>204</v>
      </c>
      <c r="C328" s="226"/>
      <c r="D328" s="226"/>
      <c r="E328" s="226"/>
      <c r="F328" s="226"/>
      <c r="G328" s="226"/>
      <c r="H328" s="226"/>
      <c r="I328" s="226"/>
      <c r="J328" s="226"/>
      <c r="K328" s="37"/>
      <c r="L328" s="37"/>
      <c r="M328" s="37"/>
      <c r="N328" s="37"/>
      <c r="O328" s="37"/>
    </row>
    <row r="329" spans="2:19" ht="12.95" customHeight="1" x14ac:dyDescent="0.2">
      <c r="B329" s="3" t="s">
        <v>336</v>
      </c>
      <c r="C329" s="3"/>
      <c r="D329" s="3"/>
      <c r="E329" s="3"/>
      <c r="F329" s="3"/>
      <c r="G329" s="3"/>
      <c r="H329" s="3"/>
      <c r="I329" s="3"/>
      <c r="J329" s="3"/>
      <c r="K329" s="66"/>
      <c r="L329" s="66"/>
      <c r="M329" s="66"/>
      <c r="N329" s="66"/>
      <c r="O329" s="66"/>
    </row>
    <row r="330" spans="2:19" ht="12.95" customHeight="1" x14ac:dyDescent="0.2">
      <c r="B330" s="69" t="s">
        <v>207</v>
      </c>
      <c r="C330" s="69"/>
      <c r="D330" s="69"/>
      <c r="E330" s="69"/>
      <c r="F330" s="69"/>
      <c r="G330" s="69"/>
      <c r="H330" s="69"/>
      <c r="I330" s="69"/>
      <c r="J330" s="69"/>
      <c r="K330" s="71"/>
      <c r="L330" s="71"/>
      <c r="M330" s="71"/>
      <c r="N330" s="71"/>
      <c r="O330" s="71"/>
    </row>
    <row r="332" spans="2:19" ht="12.95" customHeight="1" x14ac:dyDescent="0.2">
      <c r="F332" s="1" t="s">
        <v>205</v>
      </c>
      <c r="J332" s="250"/>
      <c r="K332" s="15"/>
      <c r="L332" s="15"/>
      <c r="M332" s="15"/>
      <c r="N332" s="15"/>
      <c r="O332" s="15"/>
    </row>
    <row r="334" spans="2:19" ht="12.95" customHeight="1" x14ac:dyDescent="0.2">
      <c r="F334" s="1" t="s">
        <v>208</v>
      </c>
      <c r="K334" s="254"/>
      <c r="L334" s="254"/>
      <c r="M334" s="254"/>
      <c r="N334" s="254"/>
      <c r="O334" s="254"/>
    </row>
    <row r="335" spans="2:19" customFormat="1" ht="3" customHeight="1" x14ac:dyDescent="0.25">
      <c r="Q335" s="1"/>
      <c r="R335" s="1"/>
      <c r="S335" s="1"/>
    </row>
    <row r="336" spans="2:19"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CF39-FF63-47CB-9163-28E9D37D8E3A}">
  <dimension ref="A2:X342"/>
  <sheetViews>
    <sheetView showGridLines="0" topLeftCell="A244" zoomScale="115" zoomScaleNormal="115" zoomScaleSheetLayoutView="85" workbookViewId="0">
      <selection activeCell="A253" sqref="A253"/>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c r="L139" s="221"/>
      <c r="M139" s="221"/>
      <c r="N139" s="221"/>
      <c r="O139" s="221"/>
      <c r="Q139" s="1"/>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si="13"/>
        <v>182.96286050053121</v>
      </c>
      <c r="L143" s="238">
        <f t="shared" si="13"/>
        <v>195.52950228475203</v>
      </c>
      <c r="M143" s="238">
        <f t="shared" si="13"/>
        <v>208.95895590231126</v>
      </c>
      <c r="N143" s="238">
        <f t="shared" si="13"/>
        <v>223.31043846513344</v>
      </c>
      <c r="O143" s="238">
        <f t="shared" si="13"/>
        <v>238.64722970282941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si="14"/>
        <v>2137.5559154857301</v>
      </c>
      <c r="L149" s="240">
        <f t="shared" si="14"/>
        <v>2153.2616405183794</v>
      </c>
      <c r="M149" s="240">
        <f t="shared" si="14"/>
        <v>2169.662867136642</v>
      </c>
      <c r="N149" s="240">
        <f t="shared" si="14"/>
        <v>2186.7629203555853</v>
      </c>
      <c r="O149" s="241">
        <f t="shared" si="14"/>
        <v>2204.5621827346149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c r="L159" s="35"/>
      <c r="M159" s="35"/>
      <c r="N159" s="35"/>
      <c r="O159" s="35"/>
      <c r="Q159" s="174" t="s">
        <v>255</v>
      </c>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c r="L160" s="35"/>
      <c r="M160" s="35"/>
      <c r="N160" s="35"/>
      <c r="O160" s="35"/>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c r="L161" s="35"/>
      <c r="M161" s="35"/>
      <c r="N161" s="35"/>
      <c r="O161" s="35"/>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si="16"/>
        <v>0</v>
      </c>
      <c r="L163" s="238">
        <f t="shared" si="16"/>
        <v>0</v>
      </c>
      <c r="M163" s="238">
        <f t="shared" si="16"/>
        <v>0</v>
      </c>
      <c r="N163" s="238">
        <f t="shared" si="16"/>
        <v>0</v>
      </c>
      <c r="O163" s="238">
        <f t="shared" si="16"/>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+J165+K113</f>
        <v>1024.7429196329997</v>
      </c>
      <c r="L165" s="35">
        <f>+K165+L113</f>
        <v>1161.8023720306196</v>
      </c>
      <c r="M165" s="35">
        <f>+L165+M113</f>
        <v>1311.7253341803346</v>
      </c>
      <c r="N165" s="35">
        <f>+M165+N113</f>
        <v>1475.6411061306896</v>
      </c>
      <c r="O165" s="35">
        <f>+N165+O113</f>
        <v>1654.7740587392409</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si="17"/>
        <v>1196.3172886416942</v>
      </c>
      <c r="L166" s="22">
        <f t="shared" si="17"/>
        <v>1344.9535384538547</v>
      </c>
      <c r="M166" s="22">
        <f t="shared" si="17"/>
        <v>1507.2333352480032</v>
      </c>
      <c r="N166" s="22">
        <f t="shared" si="17"/>
        <v>1684.3384579775388</v>
      </c>
      <c r="O166" s="23">
        <f t="shared" si="17"/>
        <v>1877.5492812691241</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1</v>
      </c>
      <c r="L168" s="175">
        <f t="shared" si="18"/>
        <v>1</v>
      </c>
      <c r="M168" s="175">
        <f t="shared" si="18"/>
        <v>1</v>
      </c>
      <c r="N168" s="175">
        <f t="shared" si="18"/>
        <v>1</v>
      </c>
      <c r="O168" s="175">
        <f t="shared" si="18"/>
        <v>1</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22.413878491836641</v>
      </c>
      <c r="L186" s="200">
        <f>+(L143-L139)-L154</f>
        <v>24.17549995151694</v>
      </c>
      <c r="M186" s="200">
        <f>+(M143-M139)-M154</f>
        <v>26.073920410942577</v>
      </c>
      <c r="N186" s="200">
        <f>+(N143-N139)-N154</f>
        <v>28.11965978492529</v>
      </c>
      <c r="O186" s="200">
        <f>+(O143-O139)-O154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+K186/K171</f>
        <v>2.0329334917528644E-2</v>
      </c>
      <c r="L187" s="203">
        <f>+L186/L171</f>
        <v>2.0492636846519387E-2</v>
      </c>
      <c r="M187" s="203">
        <f>+M186/M171</f>
        <v>2.0655938775510207E-2</v>
      </c>
      <c r="N187" s="203">
        <f>+N186/N171</f>
        <v>2.0819240704500967E-2</v>
      </c>
      <c r="O187" s="203">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+K113</f>
        <v>125.23737093299992</v>
      </c>
      <c r="L193" s="15">
        <f>+L113</f>
        <v>137.05945239761996</v>
      </c>
      <c r="M193" s="15">
        <f>+M113</f>
        <v>149.92296214971503</v>
      </c>
      <c r="N193" s="15">
        <f>+N113</f>
        <v>163.91577195035512</v>
      </c>
      <c r="O193" s="15">
        <f>+O113</f>
        <v>179.13295260855125</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c r="L196" s="62"/>
      <c r="M196" s="62"/>
      <c r="N196" s="62"/>
      <c r="O196" s="62"/>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19">+(J140-K140)</f>
        <v>-4.5168657534246393</v>
      </c>
      <c r="L199" s="16">
        <f t="shared" si="19"/>
        <v>-6.3433733424657532</v>
      </c>
      <c r="M199" s="16">
        <f t="shared" si="19"/>
        <v>-6.7874094764383699</v>
      </c>
      <c r="N199" s="16">
        <f t="shared" si="19"/>
        <v>-7.2625281397890546</v>
      </c>
      <c r="O199" s="16">
        <f t="shared" si="19"/>
        <v>-7.7709051095742865</v>
      </c>
    </row>
    <row r="200" spans="2:15" ht="12.95" customHeight="1" x14ac:dyDescent="0.2">
      <c r="B200" s="1" t="str">
        <f>+"(Increase) / Decrease in "&amp;B141</f>
        <v>(Increase) / Decrease in Inventories</v>
      </c>
      <c r="H200" s="38"/>
      <c r="I200" s="38"/>
      <c r="J200" s="38"/>
      <c r="K200" s="16">
        <f t="shared" si="19"/>
        <v>-4.2586686249870525</v>
      </c>
      <c r="L200" s="16">
        <f t="shared" si="19"/>
        <v>-4.2166480077551114</v>
      </c>
      <c r="M200" s="16">
        <f t="shared" si="19"/>
        <v>-4.4949602767408265</v>
      </c>
      <c r="N200" s="16">
        <f t="shared" si="19"/>
        <v>-4.7915746881465395</v>
      </c>
      <c r="O200" s="16">
        <f t="shared" si="19"/>
        <v>-5.1076898117930227</v>
      </c>
    </row>
    <row r="201" spans="2:15" ht="12.95" customHeight="1" x14ac:dyDescent="0.2">
      <c r="B201" s="1" t="str">
        <f>+"(Increase) / Decrease in "&amp;B142</f>
        <v>(Increase) / Decrease in Prepaid Expenses</v>
      </c>
      <c r="H201" s="38"/>
      <c r="I201" s="38"/>
      <c r="J201" s="38"/>
      <c r="K201" s="16">
        <f t="shared" si="19"/>
        <v>-0.84493619999999936</v>
      </c>
      <c r="L201" s="16">
        <f t="shared" si="19"/>
        <v>-2.0066204339999985</v>
      </c>
      <c r="M201" s="16">
        <f t="shared" si="19"/>
        <v>-2.1470838643800079</v>
      </c>
      <c r="N201" s="16">
        <f t="shared" si="19"/>
        <v>-2.2973797348865972</v>
      </c>
      <c r="O201" s="16">
        <f t="shared" si="19"/>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20">+K151-J151</f>
        <v>5.1904433589041119</v>
      </c>
      <c r="L203" s="16">
        <f t="shared" si="20"/>
        <v>3.396423326794519</v>
      </c>
      <c r="M203" s="16">
        <f t="shared" si="20"/>
        <v>3.62059814071727</v>
      </c>
      <c r="N203" s="16">
        <f t="shared" si="20"/>
        <v>3.8595149542878886</v>
      </c>
      <c r="O203" s="16">
        <f t="shared" si="20"/>
        <v>4.1141391908688973</v>
      </c>
    </row>
    <row r="204" spans="2:15" ht="12.95" customHeight="1" x14ac:dyDescent="0.2">
      <c r="B204" s="1" t="str">
        <f>+"Increase / (Decrease) in "&amp;B152</f>
        <v>Increase / (Decrease) in Accrued Liabilities</v>
      </c>
      <c r="H204" s="38"/>
      <c r="I204" s="38"/>
      <c r="J204" s="38"/>
      <c r="K204" s="16">
        <f t="shared" si="20"/>
        <v>5.0838265539000034</v>
      </c>
      <c r="L204" s="16">
        <f t="shared" si="20"/>
        <v>3.5497115477460071</v>
      </c>
      <c r="M204" s="16">
        <f t="shared" si="20"/>
        <v>3.7814275859163331</v>
      </c>
      <c r="N204" s="16">
        <f t="shared" si="20"/>
        <v>4.0281902828465519</v>
      </c>
      <c r="O204" s="16">
        <f t="shared" si="20"/>
        <v>4.2909707621760305</v>
      </c>
    </row>
    <row r="205" spans="2:15" ht="12.95" customHeight="1" x14ac:dyDescent="0.2">
      <c r="B205" s="1" t="str">
        <f>+"Increase / (Decrease) in "&amp;B153</f>
        <v>Increase / (Decrease) in Deferred Revenue</v>
      </c>
      <c r="H205" s="38"/>
      <c r="I205" s="38"/>
      <c r="J205" s="38"/>
      <c r="K205" s="16">
        <f t="shared" si="20"/>
        <v>11.334509999999995</v>
      </c>
      <c r="L205" s="16">
        <f t="shared" si="20"/>
        <v>3.8588854500000025</v>
      </c>
      <c r="M205" s="16">
        <f t="shared" si="20"/>
        <v>4.129007431500014</v>
      </c>
      <c r="N205" s="16">
        <f t="shared" si="20"/>
        <v>4.4180379517050028</v>
      </c>
      <c r="O205" s="16">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+SUM(K193:K196,K207)</f>
        <v>175.29341420596378</v>
      </c>
      <c r="L209" s="22">
        <f>+SUM(L193:L196,L207)</f>
        <v>182.47861395751107</v>
      </c>
      <c r="M209" s="22">
        <f>+SUM(M193:M196,M207)</f>
        <v>199.52617387516088</v>
      </c>
      <c r="N209" s="22">
        <f>+SUM(N193:N196,N207)</f>
        <v>218.08333412714893</v>
      </c>
      <c r="O209" s="23">
        <f>+SUM(O193:O196,O207)</f>
        <v>238.27790571668606</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c r="L216" s="16"/>
      <c r="M216" s="16"/>
      <c r="N216" s="16"/>
      <c r="O216" s="16"/>
    </row>
    <row r="217" spans="1:15" ht="12.95" customHeight="1" x14ac:dyDescent="0.2">
      <c r="B217" s="3" t="s">
        <v>83</v>
      </c>
      <c r="C217" s="3"/>
      <c r="D217" s="3"/>
      <c r="E217" s="3"/>
      <c r="F217" s="3"/>
      <c r="G217" s="3"/>
      <c r="H217" s="27"/>
      <c r="I217" s="27"/>
      <c r="J217" s="27"/>
      <c r="K217" s="66"/>
      <c r="L217" s="66"/>
      <c r="M217" s="66"/>
      <c r="N217" s="66"/>
      <c r="O217" s="66"/>
    </row>
    <row r="218" spans="1:15" s="76" customFormat="1" ht="12.95" customHeight="1" x14ac:dyDescent="0.2">
      <c r="B218" s="69" t="s">
        <v>84</v>
      </c>
      <c r="C218" s="69"/>
      <c r="D218" s="69"/>
      <c r="E218" s="69"/>
      <c r="F218" s="69"/>
      <c r="G218" s="69"/>
      <c r="H218" s="210"/>
      <c r="I218" s="210"/>
      <c r="J218" s="210"/>
      <c r="K218" s="71">
        <f>+SUM(K216:K217)</f>
        <v>0</v>
      </c>
      <c r="L218" s="71">
        <f>+SUM(L216:L217)</f>
        <v>0</v>
      </c>
      <c r="M218" s="71">
        <f>+SUM(M216:M217)</f>
        <v>0</v>
      </c>
      <c r="N218" s="71">
        <f>+SUM(N216:N217)</f>
        <v>0</v>
      </c>
      <c r="O218" s="71">
        <f>+SUM(O216:O217)</f>
        <v>0</v>
      </c>
    </row>
    <row r="220" spans="1:15" ht="12.95" customHeight="1" x14ac:dyDescent="0.2">
      <c r="B220" s="207" t="s">
        <v>87</v>
      </c>
      <c r="C220" s="208"/>
      <c r="D220" s="208"/>
      <c r="E220" s="208"/>
      <c r="F220" s="208"/>
      <c r="G220" s="208"/>
      <c r="H220" s="209"/>
      <c r="I220" s="209"/>
      <c r="J220" s="209"/>
      <c r="K220" s="22">
        <f>+K209+K213+K218</f>
        <v>129.53805815596377</v>
      </c>
      <c r="L220" s="22">
        <f>+L209+L213+L218</f>
        <v>132.93052477951107</v>
      </c>
      <c r="M220" s="22">
        <f>+M209+M213+M218</f>
        <v>145.87857017588587</v>
      </c>
      <c r="N220" s="22">
        <f>+N209+N213+N218</f>
        <v>160.00506951059262</v>
      </c>
      <c r="O220" s="2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11"/>
      <c r="L227" s="211"/>
      <c r="M227" s="211"/>
      <c r="N227" s="211"/>
      <c r="O227" s="211"/>
    </row>
    <row r="228" spans="2:15" s="76" customFormat="1" ht="12.95" customHeight="1" x14ac:dyDescent="0.2">
      <c r="B228" s="69" t="s">
        <v>74</v>
      </c>
      <c r="C228" s="69"/>
      <c r="D228" s="69"/>
      <c r="E228" s="69"/>
      <c r="F228" s="69"/>
      <c r="G228" s="69"/>
      <c r="H228" s="212"/>
      <c r="I228" s="212"/>
      <c r="J228" s="212"/>
      <c r="K228" s="71">
        <f>+SUM(K227)</f>
        <v>0</v>
      </c>
      <c r="L228" s="71">
        <f>+SUM(L227)</f>
        <v>0</v>
      </c>
      <c r="M228" s="71">
        <f>+SUM(M227)</f>
        <v>0</v>
      </c>
      <c r="N228" s="71">
        <f>+SUM(N227)</f>
        <v>0</v>
      </c>
      <c r="O228" s="71">
        <f>+SUM(O227)</f>
        <v>0</v>
      </c>
    </row>
    <row r="230" spans="2:15" ht="12.95" customHeight="1" x14ac:dyDescent="0.2">
      <c r="B230" s="24" t="s">
        <v>196</v>
      </c>
    </row>
    <row r="231" spans="2:15" ht="12.95" customHeight="1" x14ac:dyDescent="0.2">
      <c r="B231" s="1" t="s">
        <v>122</v>
      </c>
      <c r="K231" s="16">
        <f>+K209+K213</f>
        <v>129.53805815596377</v>
      </c>
      <c r="L231" s="16">
        <f>+L209+L213</f>
        <v>132.93052477951107</v>
      </c>
      <c r="M231" s="16">
        <f>+M209+M213</f>
        <v>145.87857017588587</v>
      </c>
      <c r="N231" s="16">
        <f>+N209+N213</f>
        <v>160.00506951059262</v>
      </c>
      <c r="O231" s="16">
        <f>+O209+O213</f>
        <v>175.4115609125555</v>
      </c>
    </row>
    <row r="232" spans="2:15" ht="12.95" customHeight="1" x14ac:dyDescent="0.2">
      <c r="B232" s="1" t="s">
        <v>123</v>
      </c>
      <c r="K232" s="16">
        <f>+K228</f>
        <v>0</v>
      </c>
      <c r="L232" s="16">
        <f>+L228</f>
        <v>0</v>
      </c>
      <c r="M232" s="16">
        <f>+M228</f>
        <v>0</v>
      </c>
      <c r="N232" s="16">
        <f>+N228</f>
        <v>0</v>
      </c>
      <c r="O232" s="16">
        <f>+O228</f>
        <v>0</v>
      </c>
    </row>
    <row r="233" spans="2:15" s="76" customFormat="1" ht="12.95" customHeight="1" x14ac:dyDescent="0.2">
      <c r="B233" s="20" t="s">
        <v>75</v>
      </c>
      <c r="C233" s="21"/>
      <c r="D233" s="21"/>
      <c r="E233" s="21"/>
      <c r="F233" s="21"/>
      <c r="G233" s="21"/>
      <c r="H233" s="21"/>
      <c r="I233" s="21"/>
      <c r="J233" s="21"/>
      <c r="K233" s="22">
        <f>SUM(K231:K232)</f>
        <v>129.53805815596377</v>
      </c>
      <c r="L233" s="22">
        <f>SUM(L231:L232)</f>
        <v>132.93052477951107</v>
      </c>
      <c r="M233" s="22">
        <f>SUM(M231:M232)</f>
        <v>145.87857017588587</v>
      </c>
      <c r="N233" s="22">
        <f>SUM(N231:N232)</f>
        <v>160.00506951059262</v>
      </c>
      <c r="O233" s="23">
        <f>SUM(O231:O232)</f>
        <v>175.4115609125555</v>
      </c>
    </row>
    <row r="235" spans="2:15" ht="12.95" customHeight="1" x14ac:dyDescent="0.2">
      <c r="B235" s="1" t="s">
        <v>76</v>
      </c>
      <c r="H235" s="38"/>
      <c r="I235" s="38"/>
      <c r="J235" s="38"/>
      <c r="K235" s="16">
        <f>+J139</f>
        <v>0</v>
      </c>
      <c r="L235" s="16">
        <f>+K139</f>
        <v>0</v>
      </c>
      <c r="M235" s="16">
        <f>+L139</f>
        <v>0</v>
      </c>
      <c r="N235" s="16">
        <f>+M139</f>
        <v>0</v>
      </c>
      <c r="O235" s="16">
        <f>+N139</f>
        <v>0</v>
      </c>
    </row>
    <row r="236" spans="2:15"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5" ht="12.95" customHeight="1" x14ac:dyDescent="0.2">
      <c r="B237" s="4" t="s">
        <v>78</v>
      </c>
      <c r="C237" s="4"/>
      <c r="D237" s="4"/>
      <c r="E237" s="4"/>
      <c r="F237" s="4"/>
      <c r="G237" s="4"/>
      <c r="H237" s="150"/>
      <c r="I237" s="150"/>
      <c r="J237" s="150"/>
      <c r="K237" s="35">
        <f>+K233</f>
        <v>129.53805815596377</v>
      </c>
      <c r="L237" s="35">
        <f>+L233</f>
        <v>132.93052477951107</v>
      </c>
      <c r="M237" s="35">
        <f>+M233</f>
        <v>145.87857017588587</v>
      </c>
      <c r="N237" s="35">
        <f>+N233</f>
        <v>160.00506951059262</v>
      </c>
      <c r="O237" s="35">
        <f>+O233</f>
        <v>175.4115609125555</v>
      </c>
    </row>
    <row r="238" spans="2:15" s="76" customFormat="1" ht="12.95" customHeight="1" x14ac:dyDescent="0.2">
      <c r="B238" s="20" t="s">
        <v>86</v>
      </c>
      <c r="C238" s="21"/>
      <c r="D238" s="21"/>
      <c r="E238" s="21"/>
      <c r="F238" s="21"/>
      <c r="G238" s="21"/>
      <c r="H238" s="172"/>
      <c r="I238" s="172"/>
      <c r="J238" s="172"/>
      <c r="K238" s="22">
        <f>SUM(K235:K237)</f>
        <v>124.53805815596377</v>
      </c>
      <c r="L238" s="22">
        <f>SUM(L235:L237)</f>
        <v>127.93052477951107</v>
      </c>
      <c r="M238" s="22">
        <f>SUM(M235:M237)</f>
        <v>140.87857017588587</v>
      </c>
      <c r="N238" s="22">
        <f>SUM(N235:N237)</f>
        <v>155.00506951059262</v>
      </c>
      <c r="O238" s="23">
        <f>SUM(O235:O237)</f>
        <v>170.4115609125555</v>
      </c>
    </row>
    <row r="240" spans="2:15" s="76" customFormat="1" ht="12.95" customHeight="1" x14ac:dyDescent="0.2">
      <c r="B240" s="24" t="s">
        <v>79</v>
      </c>
    </row>
    <row r="241" spans="1:17" ht="12.95" customHeight="1" x14ac:dyDescent="0.2">
      <c r="B241" s="1" t="str">
        <f>+B159</f>
        <v>Revolving Credit Facility</v>
      </c>
      <c r="K241" s="16"/>
      <c r="L241" s="16"/>
      <c r="M241" s="16"/>
      <c r="N241" s="16"/>
      <c r="O241" s="16"/>
      <c r="Q241" s="174" t="s">
        <v>254</v>
      </c>
    </row>
    <row r="242" spans="1:17" ht="12.95" customHeight="1" x14ac:dyDescent="0.2">
      <c r="B242" s="1" t="str">
        <f>+B160</f>
        <v>First Lien Term Loan</v>
      </c>
      <c r="K242" s="16"/>
      <c r="L242" s="16"/>
      <c r="M242" s="16"/>
      <c r="N242" s="16"/>
      <c r="O242" s="16"/>
      <c r="Q242" s="4"/>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f>SUM(K241:K244)</f>
        <v>0</v>
      </c>
      <c r="L245" s="71">
        <f>SUM(L241:L244)</f>
        <v>0</v>
      </c>
      <c r="M245" s="71">
        <f>SUM(M241:M244)</f>
        <v>0</v>
      </c>
      <c r="N245" s="71">
        <f>SUM(N241:N244)</f>
        <v>0</v>
      </c>
      <c r="O245" s="71">
        <f>SUM(O241:O244)</f>
        <v>0</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c r="L254" s="54"/>
      <c r="M254" s="54"/>
      <c r="N254" s="54"/>
      <c r="O254" s="54"/>
      <c r="Q254" s="174" t="s">
        <v>329</v>
      </c>
    </row>
    <row r="255" spans="1:17" ht="12.95" customHeight="1" x14ac:dyDescent="0.2">
      <c r="B255" s="3" t="s">
        <v>94</v>
      </c>
      <c r="C255" s="3"/>
      <c r="D255" s="3"/>
      <c r="E255" s="3"/>
      <c r="F255" s="3"/>
      <c r="G255" s="3"/>
      <c r="H255" s="3"/>
      <c r="I255" s="3"/>
      <c r="J255" s="3"/>
      <c r="K255" s="66"/>
      <c r="L255" s="66"/>
      <c r="M255" s="66"/>
      <c r="N255" s="66"/>
      <c r="O255" s="66"/>
      <c r="Q255" s="174" t="s">
        <v>252</v>
      </c>
    </row>
    <row r="256" spans="1:17" ht="12.95" customHeight="1" x14ac:dyDescent="0.2">
      <c r="B256" s="69" t="s">
        <v>192</v>
      </c>
      <c r="C256" s="69"/>
      <c r="D256" s="69"/>
      <c r="E256" s="69"/>
      <c r="F256" s="69"/>
      <c r="G256" s="69"/>
      <c r="H256" s="69"/>
      <c r="I256" s="69"/>
      <c r="J256" s="69"/>
      <c r="K256" s="71"/>
      <c r="L256" s="71"/>
      <c r="M256" s="71"/>
      <c r="N256" s="71"/>
      <c r="O256" s="71"/>
      <c r="Q256" s="174" t="s">
        <v>251</v>
      </c>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c r="K258" s="35"/>
      <c r="L258" s="35"/>
      <c r="M258" s="35"/>
      <c r="N258" s="35"/>
      <c r="O258" s="35"/>
      <c r="Q258" s="174" t="s">
        <v>253</v>
      </c>
    </row>
    <row r="259" spans="2:17" s="4" customFormat="1" ht="12.95" customHeight="1" x14ac:dyDescent="0.2">
      <c r="B259" s="4" t="s">
        <v>149</v>
      </c>
      <c r="G259" s="4" t="s">
        <v>96</v>
      </c>
      <c r="I259" s="217">
        <v>350</v>
      </c>
      <c r="K259" s="55"/>
      <c r="L259" s="55"/>
      <c r="M259" s="55"/>
      <c r="N259" s="55"/>
      <c r="O259" s="55"/>
      <c r="Q259" s="174" t="s">
        <v>308</v>
      </c>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74" t="s">
        <v>328</v>
      </c>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row>
    <row r="268" spans="2:17" s="4" customFormat="1" ht="12.95" customHeight="1" x14ac:dyDescent="0.2">
      <c r="B268" s="33" t="s">
        <v>92</v>
      </c>
      <c r="G268" s="4" t="s">
        <v>97</v>
      </c>
      <c r="I268" s="219">
        <v>0.02</v>
      </c>
      <c r="K268" s="35"/>
      <c r="L268" s="35"/>
      <c r="M268" s="35"/>
      <c r="N268" s="35"/>
      <c r="O268" s="35"/>
    </row>
    <row r="269" spans="2:17" ht="12.95" customHeight="1" x14ac:dyDescent="0.2">
      <c r="B269" s="3" t="s">
        <v>89</v>
      </c>
      <c r="C269" s="3"/>
      <c r="D269" s="3"/>
      <c r="E269" s="3"/>
      <c r="F269" s="3"/>
      <c r="G269" s="3"/>
      <c r="H269" s="3"/>
      <c r="I269" s="3"/>
      <c r="J269" s="3"/>
      <c r="K269" s="66"/>
      <c r="L269" s="66"/>
      <c r="M269" s="66"/>
      <c r="N269" s="66"/>
      <c r="O269" s="66"/>
      <c r="Q269" s="4"/>
    </row>
    <row r="270" spans="2:17" ht="12.95" customHeight="1" x14ac:dyDescent="0.2">
      <c r="B270" s="69" t="s">
        <v>192</v>
      </c>
      <c r="C270" s="69"/>
      <c r="D270" s="69"/>
      <c r="E270" s="69"/>
      <c r="F270" s="69"/>
      <c r="G270" s="69"/>
      <c r="H270" s="4"/>
      <c r="I270" s="69"/>
      <c r="J270" s="69"/>
      <c r="K270" s="71"/>
      <c r="L270" s="71"/>
      <c r="M270" s="71"/>
      <c r="N270" s="71"/>
      <c r="O270" s="71"/>
      <c r="Q270" s="4"/>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4"/>
    </row>
    <row r="273" spans="2:17" ht="12.95" customHeight="1" x14ac:dyDescent="0.2">
      <c r="B273" s="1" t="s">
        <v>149</v>
      </c>
      <c r="G273" s="4" t="s">
        <v>96</v>
      </c>
      <c r="I273" s="218">
        <v>350</v>
      </c>
      <c r="K273" s="55"/>
      <c r="L273" s="55"/>
      <c r="M273" s="55"/>
      <c r="N273" s="55"/>
      <c r="O273" s="55"/>
      <c r="Q273" s="4"/>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K323" s="54"/>
      <c r="L323" s="54"/>
      <c r="M323" s="54"/>
      <c r="N323" s="54"/>
      <c r="O323" s="54"/>
    </row>
    <row r="324" spans="2:17" ht="12.95" customHeight="1" x14ac:dyDescent="0.2">
      <c r="B324" s="4" t="s">
        <v>200</v>
      </c>
      <c r="C324" s="4"/>
      <c r="D324" s="4"/>
      <c r="E324" s="4"/>
      <c r="F324" s="4"/>
      <c r="G324" s="4"/>
      <c r="H324" s="4"/>
      <c r="I324" s="4"/>
      <c r="J324" s="4"/>
      <c r="K324" s="253"/>
      <c r="L324" s="253"/>
      <c r="M324" s="253"/>
      <c r="N324" s="253"/>
      <c r="O324" s="253"/>
    </row>
    <row r="325" spans="2:17" ht="12.95" customHeight="1" x14ac:dyDescent="0.2">
      <c r="B325" s="226" t="s">
        <v>201</v>
      </c>
      <c r="C325" s="226"/>
      <c r="D325" s="226"/>
      <c r="E325" s="226"/>
      <c r="F325" s="226"/>
      <c r="G325" s="226"/>
      <c r="H325" s="226"/>
      <c r="I325" s="226"/>
      <c r="J325" s="226"/>
      <c r="K325" s="37"/>
      <c r="L325" s="37"/>
      <c r="M325" s="37"/>
      <c r="N325" s="37"/>
      <c r="O325" s="37"/>
    </row>
    <row r="326" spans="2:17" ht="12.95" customHeight="1" x14ac:dyDescent="0.2">
      <c r="B326" s="1" t="s">
        <v>202</v>
      </c>
      <c r="K326" s="16"/>
      <c r="L326" s="16"/>
      <c r="M326" s="16"/>
      <c r="N326" s="16"/>
      <c r="O326" s="16"/>
    </row>
    <row r="327" spans="2:17" ht="12.95" customHeight="1" x14ac:dyDescent="0.2">
      <c r="B327" s="4" t="s">
        <v>203</v>
      </c>
      <c r="C327" s="4"/>
      <c r="D327" s="4"/>
      <c r="E327" s="4"/>
      <c r="F327" s="4"/>
      <c r="G327" s="4"/>
      <c r="H327" s="4"/>
      <c r="I327" s="4"/>
      <c r="J327" s="4"/>
      <c r="K327" s="35"/>
      <c r="L327" s="35"/>
      <c r="M327" s="35"/>
      <c r="N327" s="35"/>
      <c r="O327" s="35"/>
    </row>
    <row r="328" spans="2:17" ht="12.95" customHeight="1" x14ac:dyDescent="0.2">
      <c r="B328" s="226" t="s">
        <v>204</v>
      </c>
      <c r="C328" s="226"/>
      <c r="D328" s="226"/>
      <c r="E328" s="226"/>
      <c r="F328" s="226"/>
      <c r="G328" s="226"/>
      <c r="H328" s="226"/>
      <c r="I328" s="226"/>
      <c r="J328" s="226"/>
      <c r="K328" s="37"/>
      <c r="L328" s="37"/>
      <c r="M328" s="37"/>
      <c r="N328" s="37"/>
      <c r="O328" s="37"/>
    </row>
    <row r="329" spans="2:17" ht="12.95" customHeight="1" x14ac:dyDescent="0.2">
      <c r="B329" s="3" t="s">
        <v>336</v>
      </c>
      <c r="C329" s="3"/>
      <c r="D329" s="3"/>
      <c r="E329" s="3"/>
      <c r="F329" s="3"/>
      <c r="G329" s="3"/>
      <c r="H329" s="3"/>
      <c r="I329" s="3"/>
      <c r="J329" s="3"/>
      <c r="K329" s="66"/>
      <c r="L329" s="66"/>
      <c r="M329" s="66"/>
      <c r="N329" s="66"/>
      <c r="O329" s="66"/>
    </row>
    <row r="330" spans="2:17" ht="12.95" customHeight="1" x14ac:dyDescent="0.2">
      <c r="B330" s="69" t="s">
        <v>207</v>
      </c>
      <c r="C330" s="69"/>
      <c r="D330" s="69"/>
      <c r="E330" s="69"/>
      <c r="F330" s="69"/>
      <c r="G330" s="69"/>
      <c r="H330" s="69"/>
      <c r="I330" s="69"/>
      <c r="J330" s="69"/>
      <c r="K330" s="71"/>
      <c r="L330" s="71"/>
      <c r="M330" s="71"/>
      <c r="N330" s="71"/>
      <c r="O330" s="71"/>
    </row>
    <row r="332" spans="2:17" ht="12.95" customHeight="1" x14ac:dyDescent="0.2">
      <c r="F332" s="1" t="s">
        <v>205</v>
      </c>
      <c r="J332" s="250"/>
      <c r="K332" s="15"/>
      <c r="L332" s="15"/>
      <c r="M332" s="15"/>
      <c r="N332" s="15"/>
      <c r="O332" s="15"/>
    </row>
    <row r="334" spans="2:17" ht="12.95" customHeight="1" x14ac:dyDescent="0.2">
      <c r="F334" s="1" t="s">
        <v>208</v>
      </c>
      <c r="K334" s="254"/>
      <c r="L334" s="254"/>
      <c r="M334" s="254"/>
      <c r="N334" s="254"/>
      <c r="O334" s="254"/>
    </row>
    <row r="335" spans="2:17" customFormat="1" ht="3" customHeight="1" x14ac:dyDescent="0.25">
      <c r="Q335" s="1"/>
    </row>
    <row r="336" spans="2:17"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79D5-482E-4213-9371-DB1A11759554}">
  <dimension ref="A2:X342"/>
  <sheetViews>
    <sheetView showGridLines="0" topLeftCell="A253" zoomScale="115" zoomScaleNormal="115" zoomScaleSheetLayoutView="85" workbookViewId="0">
      <selection activeCell="A269" sqref="A269"/>
    </sheetView>
  </sheetViews>
  <sheetFormatPr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51">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0</v>
      </c>
      <c r="F22" s="25"/>
      <c r="G22" s="25"/>
      <c r="H22" s="25" t="s">
        <v>130</v>
      </c>
      <c r="I22" s="25"/>
      <c r="J22" s="25"/>
      <c r="K22" s="25"/>
      <c r="L22" s="25"/>
      <c r="M22" s="45">
        <v>0.02</v>
      </c>
    </row>
    <row r="23" spans="2:15" ht="12.95" customHeight="1" x14ac:dyDescent="0.2">
      <c r="B23" s="33" t="s">
        <v>132</v>
      </c>
      <c r="C23" s="33"/>
      <c r="D23" s="33"/>
      <c r="E23" s="35">
        <f>+G139</f>
        <v>0</v>
      </c>
      <c r="F23" s="25"/>
      <c r="G23" s="25"/>
    </row>
    <row r="24" spans="2:15" ht="12.95" customHeight="1" x14ac:dyDescent="0.2">
      <c r="B24" s="36" t="s">
        <v>133</v>
      </c>
      <c r="C24" s="36"/>
      <c r="D24" s="36"/>
      <c r="E24" s="37">
        <f>+SUM(E21:E23)</f>
        <v>1946.8666999999994</v>
      </c>
      <c r="F24" s="25"/>
      <c r="G24" s="25"/>
      <c r="H24" s="1" t="s">
        <v>137</v>
      </c>
      <c r="M24" s="264">
        <f>+E19</f>
        <v>194.68666999999994</v>
      </c>
    </row>
    <row r="25" spans="2:15" ht="12.95" customHeight="1" x14ac:dyDescent="0.2">
      <c r="F25" s="25"/>
      <c r="G25" s="25"/>
    </row>
    <row r="26" spans="2:15" ht="12.95" customHeight="1" x14ac:dyDescent="0.2">
      <c r="B26" s="24" t="s">
        <v>142</v>
      </c>
      <c r="H26" s="1" t="s">
        <v>138</v>
      </c>
      <c r="M26" s="245">
        <v>100</v>
      </c>
    </row>
    <row r="27" spans="2:15" ht="12.95" customHeight="1" x14ac:dyDescent="0.2">
      <c r="B27" s="1" t="s">
        <v>139</v>
      </c>
      <c r="E27" s="15">
        <f>+E24</f>
        <v>1946.8666999999994</v>
      </c>
    </row>
    <row r="28" spans="2:15" ht="12.95" customHeight="1" x14ac:dyDescent="0.2">
      <c r="B28" s="4" t="s">
        <v>140</v>
      </c>
      <c r="C28" s="4"/>
      <c r="D28" s="4"/>
      <c r="E28" s="35">
        <f>-G165</f>
        <v>-213.11757782622908</v>
      </c>
      <c r="H28" s="1" t="s">
        <v>215</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46">
        <f>+J34/H34</f>
        <v>0.4</v>
      </c>
      <c r="J34" s="246">
        <f>+$M$26*M22</f>
        <v>2</v>
      </c>
      <c r="K34" s="247">
        <f t="shared" ref="K34:O37" si="0">+MAX(J34-$I34,0)</f>
        <v>1.6</v>
      </c>
      <c r="L34" s="247">
        <f t="shared" si="0"/>
        <v>1.2000000000000002</v>
      </c>
      <c r="M34" s="247">
        <f t="shared" si="0"/>
        <v>0.80000000000000016</v>
      </c>
      <c r="N34" s="247">
        <f t="shared" si="0"/>
        <v>0.40000000000000013</v>
      </c>
      <c r="O34" s="247">
        <f t="shared" si="0"/>
        <v>1.1102230246251565E-16</v>
      </c>
    </row>
    <row r="35" spans="1:15" ht="12.95" customHeight="1" x14ac:dyDescent="0.2">
      <c r="F35" s="1" t="str">
        <f>+B49</f>
        <v>First Lien Term Loan</v>
      </c>
      <c r="H35" s="34">
        <v>5</v>
      </c>
      <c r="I35" s="248">
        <f>+J35/H35</f>
        <v>1.5574933599999996</v>
      </c>
      <c r="J35" s="249">
        <f>+$M$22*F49</f>
        <v>7.787466799999998</v>
      </c>
      <c r="K35" s="249">
        <f t="shared" si="0"/>
        <v>6.2299734399999984</v>
      </c>
      <c r="L35" s="249">
        <f t="shared" si="0"/>
        <v>4.6724800799999988</v>
      </c>
      <c r="M35" s="249">
        <f t="shared" si="0"/>
        <v>3.1149867199999992</v>
      </c>
      <c r="N35" s="249">
        <f t="shared" si="0"/>
        <v>1.5574933599999996</v>
      </c>
      <c r="O35" s="249">
        <f t="shared" si="0"/>
        <v>0</v>
      </c>
    </row>
    <row r="36" spans="1:15" ht="12.95" customHeight="1" x14ac:dyDescent="0.2">
      <c r="F36" s="1" t="str">
        <f>+B50</f>
        <v>Second Lien Term Loan</v>
      </c>
      <c r="G36" s="25"/>
      <c r="H36" s="34">
        <v>7</v>
      </c>
      <c r="I36" s="248">
        <f>+J36/H36</f>
        <v>0.5562476285714284</v>
      </c>
      <c r="J36" s="249">
        <f>+$M$22*F50</f>
        <v>3.893733399999999</v>
      </c>
      <c r="K36" s="249">
        <f t="shared" si="0"/>
        <v>3.3374857714285708</v>
      </c>
      <c r="L36" s="249">
        <f t="shared" si="0"/>
        <v>2.7812381428571422</v>
      </c>
      <c r="M36" s="249">
        <f t="shared" si="0"/>
        <v>2.2249905142857136</v>
      </c>
      <c r="N36" s="249">
        <f t="shared" si="0"/>
        <v>1.6687428857142852</v>
      </c>
      <c r="O36" s="249">
        <f t="shared" si="0"/>
        <v>1.1124952571428568</v>
      </c>
    </row>
    <row r="37" spans="1:15" ht="12.95" customHeight="1" x14ac:dyDescent="0.2">
      <c r="F37" s="1" t="str">
        <f>+B51</f>
        <v>Notes</v>
      </c>
      <c r="G37" s="25"/>
      <c r="H37" s="34">
        <v>10</v>
      </c>
      <c r="I37" s="248">
        <f>+J37/H37</f>
        <v>0.97343334999999964</v>
      </c>
      <c r="J37" s="249">
        <f>+$M$22*F51</f>
        <v>9.7343334999999964</v>
      </c>
      <c r="K37" s="249">
        <f t="shared" si="0"/>
        <v>8.7609001499999977</v>
      </c>
      <c r="L37" s="249">
        <f t="shared" si="0"/>
        <v>7.787466799999998</v>
      </c>
      <c r="M37" s="249">
        <f t="shared" si="0"/>
        <v>6.8140334499999984</v>
      </c>
      <c r="N37" s="249">
        <f t="shared" si="0"/>
        <v>5.8406000999999987</v>
      </c>
      <c r="O37" s="249">
        <f t="shared" si="0"/>
        <v>4.8671667499999991</v>
      </c>
    </row>
    <row r="38" spans="1:15" ht="12.95" customHeight="1" x14ac:dyDescent="0.2">
      <c r="F38" s="25"/>
      <c r="G38" s="25"/>
      <c r="H38" s="25"/>
      <c r="I38" s="25"/>
      <c r="K38" s="38"/>
      <c r="L38" s="38"/>
      <c r="M38" s="38"/>
      <c r="N38" s="38"/>
      <c r="O38" s="38"/>
    </row>
    <row r="39" spans="1:15" ht="12.95" customHeight="1" x14ac:dyDescent="0.2">
      <c r="F39" s="25"/>
      <c r="G39" s="25"/>
      <c r="H39" s="20" t="s">
        <v>90</v>
      </c>
      <c r="I39" s="18"/>
      <c r="J39" s="39">
        <f t="shared" ref="J39:O39" si="1">SUM(J34:J38)</f>
        <v>23.41553369999999</v>
      </c>
      <c r="K39" s="22">
        <f t="shared" si="1"/>
        <v>19.928359361428566</v>
      </c>
      <c r="L39" s="22">
        <f t="shared" si="1"/>
        <v>16.441185022857137</v>
      </c>
      <c r="M39" s="22">
        <f t="shared" si="1"/>
        <v>12.954010684285711</v>
      </c>
      <c r="N39" s="22">
        <f t="shared" si="1"/>
        <v>9.4668363457142846</v>
      </c>
      <c r="O39" s="23">
        <f t="shared" si="1"/>
        <v>5.9796620071428563</v>
      </c>
    </row>
    <row r="40" spans="1:15"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53">
        <v>0</v>
      </c>
      <c r="F48" s="54">
        <f>+E48*$M$24</f>
        <v>0</v>
      </c>
      <c r="G48" s="55">
        <f>+F48/F$53</f>
        <v>0</v>
      </c>
      <c r="I48" s="4" t="s">
        <v>13</v>
      </c>
      <c r="J48" s="4"/>
      <c r="K48" s="4"/>
      <c r="L48" s="4"/>
      <c r="M48" s="54">
        <f>+E24</f>
        <v>1946.8666999999994</v>
      </c>
    </row>
    <row r="49" spans="1:15" ht="12.95" customHeight="1" x14ac:dyDescent="0.2">
      <c r="B49" s="56" t="s">
        <v>8</v>
      </c>
      <c r="E49" s="57">
        <v>2</v>
      </c>
      <c r="F49" s="16">
        <f>+E49*$M$24</f>
        <v>389.37333999999987</v>
      </c>
      <c r="G49" s="58">
        <f>+F49/F$53</f>
        <v>0.19010913650063355</v>
      </c>
      <c r="I49" s="33" t="s">
        <v>14</v>
      </c>
      <c r="M49" s="16">
        <f>+SUM(J34:J37)</f>
        <v>23.41553369999999</v>
      </c>
    </row>
    <row r="50" spans="1:15" ht="12.95" customHeight="1" x14ac:dyDescent="0.2">
      <c r="B50" s="56" t="s">
        <v>9</v>
      </c>
      <c r="E50" s="57">
        <v>1</v>
      </c>
      <c r="F50" s="16">
        <f>+E50*$M$24</f>
        <v>194.68666999999994</v>
      </c>
      <c r="G50" s="58">
        <f>+F50/F$53</f>
        <v>9.5054568250316773E-2</v>
      </c>
      <c r="I50" s="33" t="s">
        <v>15</v>
      </c>
      <c r="M50" s="16">
        <f>+M21*E21</f>
        <v>77.874667999999971</v>
      </c>
    </row>
    <row r="51" spans="1:15" ht="12.95" customHeight="1" x14ac:dyDescent="0.2">
      <c r="B51" s="59" t="s">
        <v>10</v>
      </c>
      <c r="C51" s="60"/>
      <c r="D51" s="60"/>
      <c r="E51" s="61">
        <v>2.5</v>
      </c>
      <c r="F51" s="62">
        <f>+E51*$M$24</f>
        <v>486.71667499999984</v>
      </c>
      <c r="G51" s="63">
        <f>+F51/F$53</f>
        <v>0.23763642062579196</v>
      </c>
      <c r="M51" s="64"/>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5"/>
      <c r="M57" s="85"/>
      <c r="N57" s="85"/>
      <c r="O57" s="85"/>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77"/>
      <c r="K59" s="71"/>
      <c r="L59" s="71"/>
      <c r="M59" s="71"/>
      <c r="N59" s="71"/>
      <c r="O59" s="71"/>
    </row>
    <row r="60" spans="1:15" s="78" customFormat="1" ht="12.95" customHeight="1" x14ac:dyDescent="0.2">
      <c r="B60" s="78" t="s">
        <v>159</v>
      </c>
      <c r="I60" s="79"/>
      <c r="J60" s="80"/>
      <c r="K60" s="79"/>
      <c r="L60" s="79"/>
      <c r="M60" s="79"/>
      <c r="N60" s="79"/>
      <c r="O60" s="79"/>
    </row>
    <row r="61" spans="1:15" ht="12.95" customHeight="1" x14ac:dyDescent="0.2">
      <c r="B61" s="76" t="s">
        <v>160</v>
      </c>
      <c r="C61" s="76"/>
      <c r="D61" s="76"/>
      <c r="E61" s="76"/>
      <c r="F61" s="76"/>
      <c r="G61" s="76"/>
      <c r="H61" s="31"/>
      <c r="I61" s="31"/>
      <c r="J61" s="77"/>
      <c r="K61" s="31"/>
      <c r="L61" s="31"/>
      <c r="M61" s="31"/>
      <c r="N61" s="31"/>
      <c r="O61" s="31"/>
    </row>
    <row r="62" spans="1:15" s="78" customFormat="1" ht="12.95" customHeight="1" x14ac:dyDescent="0.2">
      <c r="B62" s="78" t="s">
        <v>161</v>
      </c>
      <c r="H62" s="79"/>
      <c r="I62" s="79"/>
      <c r="J62" s="80"/>
      <c r="K62" s="79"/>
      <c r="L62" s="79"/>
      <c r="M62" s="79"/>
      <c r="N62" s="79"/>
      <c r="O62" s="79"/>
    </row>
    <row r="63" spans="1:15" ht="12.95" customHeight="1" x14ac:dyDescent="0.2">
      <c r="J63" s="81"/>
    </row>
    <row r="64" spans="1:15" ht="12.95" customHeight="1" x14ac:dyDescent="0.2">
      <c r="B64" s="1" t="s">
        <v>162</v>
      </c>
      <c r="J64" s="81"/>
      <c r="K64" s="15"/>
      <c r="L64" s="15"/>
      <c r="M64" s="15"/>
      <c r="N64" s="15"/>
      <c r="O64" s="15"/>
    </row>
    <row r="65" spans="2:15" ht="12.95" customHeight="1" x14ac:dyDescent="0.2">
      <c r="B65" s="1" t="s">
        <v>71</v>
      </c>
      <c r="J65" s="81"/>
      <c r="K65" s="15"/>
      <c r="L65" s="15"/>
      <c r="M65" s="15"/>
      <c r="N65" s="15"/>
      <c r="O65" s="15"/>
    </row>
    <row r="66" spans="2:15" s="78" customFormat="1" ht="12.95" customHeight="1" x14ac:dyDescent="0.2">
      <c r="B66" s="78" t="s">
        <v>179</v>
      </c>
      <c r="J66" s="82"/>
      <c r="K66" s="79"/>
      <c r="L66" s="79"/>
      <c r="M66" s="79"/>
      <c r="N66" s="79"/>
      <c r="O66" s="79"/>
    </row>
    <row r="67" spans="2:15" ht="12.95" customHeight="1" x14ac:dyDescent="0.2">
      <c r="J67" s="81"/>
    </row>
    <row r="68" spans="2:15" ht="12.95" customHeight="1" x14ac:dyDescent="0.35">
      <c r="J68" s="83"/>
      <c r="K68" s="84" t="str">
        <f>+$K$32</f>
        <v>Fiscal Year Ended 12/31</v>
      </c>
      <c r="L68" s="85"/>
      <c r="M68" s="85"/>
      <c r="N68" s="85"/>
      <c r="O68" s="85"/>
    </row>
    <row r="69" spans="2:15" ht="12.95" customHeight="1" x14ac:dyDescent="0.2">
      <c r="B69" s="24" t="s">
        <v>180</v>
      </c>
      <c r="J69" s="86"/>
      <c r="K69" s="87">
        <f>+$K$103</f>
        <v>2020</v>
      </c>
      <c r="L69" s="13">
        <f>+$L$103</f>
        <v>2021</v>
      </c>
      <c r="M69" s="13">
        <f>+$M$103</f>
        <v>2022</v>
      </c>
      <c r="N69" s="13">
        <f>+$N$103</f>
        <v>2023</v>
      </c>
      <c r="O69" s="13">
        <f>+$O$103</f>
        <v>2024</v>
      </c>
    </row>
    <row r="70" spans="2:15" ht="12.95" customHeight="1" x14ac:dyDescent="0.2">
      <c r="B70" s="1" t="s">
        <v>35</v>
      </c>
      <c r="J70" s="88"/>
      <c r="K70" s="89"/>
      <c r="L70" s="15"/>
      <c r="M70" s="15"/>
      <c r="N70" s="15"/>
      <c r="O70" s="15"/>
    </row>
    <row r="71" spans="2:15" ht="12.95" customHeight="1" x14ac:dyDescent="0.2">
      <c r="B71" s="1" t="s">
        <v>163</v>
      </c>
      <c r="J71" s="33"/>
      <c r="K71" s="90"/>
      <c r="L71" s="16"/>
      <c r="M71" s="16"/>
      <c r="N71" s="16"/>
      <c r="O71" s="16"/>
    </row>
    <row r="72" spans="2:15" ht="12.95" customHeight="1" x14ac:dyDescent="0.2">
      <c r="B72" s="1" t="s">
        <v>181</v>
      </c>
      <c r="J72" s="33"/>
      <c r="K72" s="90"/>
      <c r="L72" s="16"/>
      <c r="M72" s="16"/>
      <c r="N72" s="16"/>
      <c r="O72" s="16"/>
    </row>
    <row r="73" spans="2:15" ht="12.95" customHeight="1" x14ac:dyDescent="0.2">
      <c r="B73" s="1" t="s">
        <v>164</v>
      </c>
      <c r="J73" s="91"/>
      <c r="K73" s="90"/>
      <c r="L73" s="16"/>
      <c r="M73" s="16"/>
      <c r="N73" s="16"/>
      <c r="O73" s="16"/>
    </row>
    <row r="74" spans="2:15" ht="12.95" customHeight="1" x14ac:dyDescent="0.2">
      <c r="B74" s="4" t="s">
        <v>165</v>
      </c>
      <c r="C74" s="4"/>
      <c r="D74" s="4"/>
      <c r="E74" s="4"/>
      <c r="F74" s="4"/>
      <c r="G74" s="4"/>
      <c r="H74" s="4"/>
      <c r="I74" s="4"/>
      <c r="J74" s="91"/>
      <c r="K74" s="90"/>
      <c r="L74" s="35"/>
      <c r="M74" s="35"/>
      <c r="N74" s="35"/>
      <c r="O74" s="35"/>
    </row>
    <row r="75" spans="2:15" s="4" customFormat="1" ht="12.95" customHeight="1" x14ac:dyDescent="0.2">
      <c r="B75" s="92" t="s">
        <v>166</v>
      </c>
      <c r="C75" s="93"/>
      <c r="D75" s="93"/>
      <c r="E75" s="93"/>
      <c r="F75" s="93"/>
      <c r="G75" s="93"/>
      <c r="H75" s="93"/>
      <c r="I75" s="93"/>
      <c r="J75" s="94"/>
      <c r="K75" s="95"/>
      <c r="L75" s="96"/>
      <c r="M75" s="96"/>
      <c r="N75" s="96"/>
      <c r="O75" s="97"/>
    </row>
    <row r="76" spans="2:15" s="4" customFormat="1" ht="12.95" customHeight="1" x14ac:dyDescent="0.2">
      <c r="B76" s="20" t="s">
        <v>167</v>
      </c>
      <c r="C76" s="21"/>
      <c r="D76" s="21"/>
      <c r="E76" s="21"/>
      <c r="F76" s="21"/>
      <c r="G76" s="21"/>
      <c r="H76" s="21"/>
      <c r="I76" s="21"/>
      <c r="J76" s="98"/>
      <c r="K76" s="42"/>
      <c r="L76" s="22"/>
      <c r="M76" s="22"/>
      <c r="N76" s="22"/>
      <c r="O76" s="23"/>
    </row>
    <row r="77" spans="2:15" ht="12.95" customHeight="1" x14ac:dyDescent="0.2">
      <c r="J77" s="81"/>
      <c r="K77" s="99"/>
      <c r="L77" s="99"/>
      <c r="M77" s="99"/>
      <c r="N77" s="99"/>
      <c r="O77" s="99"/>
    </row>
    <row r="78" spans="2:15" ht="12.95" customHeight="1" x14ac:dyDescent="0.2">
      <c r="B78" s="24" t="s">
        <v>168</v>
      </c>
      <c r="J78" s="100" t="s">
        <v>126</v>
      </c>
    </row>
    <row r="79" spans="2:15" ht="12.95" customHeight="1" x14ac:dyDescent="0.2">
      <c r="B79" s="1" t="s">
        <v>40</v>
      </c>
      <c r="J79" s="101"/>
      <c r="K79" s="15"/>
      <c r="L79" s="15"/>
      <c r="M79" s="15"/>
      <c r="N79" s="15"/>
      <c r="O79" s="15"/>
    </row>
    <row r="80" spans="2:15" ht="12.95" customHeight="1" x14ac:dyDescent="0.2">
      <c r="J80" s="102"/>
    </row>
    <row r="81" spans="2:16" ht="12.95" customHeight="1" x14ac:dyDescent="0.2">
      <c r="B81" s="1" t="s">
        <v>169</v>
      </c>
      <c r="J81" s="103"/>
      <c r="K81" s="14"/>
      <c r="L81" s="14"/>
      <c r="M81" s="14"/>
      <c r="N81" s="14"/>
      <c r="O81" s="14"/>
    </row>
    <row r="82" spans="2:16" ht="12.95" customHeight="1" x14ac:dyDescent="0.2">
      <c r="J82" s="101"/>
      <c r="K82" s="15"/>
      <c r="L82" s="15"/>
      <c r="M82" s="15"/>
      <c r="N82" s="15"/>
      <c r="O82" s="15"/>
    </row>
    <row r="83" spans="2:16" ht="12.95" customHeight="1" x14ac:dyDescent="0.2">
      <c r="B83" s="1" t="str">
        <f>+B48</f>
        <v>Revolving Credit Facility</v>
      </c>
      <c r="J83" s="104"/>
      <c r="K83" s="16"/>
      <c r="L83" s="16"/>
      <c r="M83" s="16"/>
      <c r="N83" s="16"/>
      <c r="O83" s="16"/>
    </row>
    <row r="84" spans="2:16" ht="12.95" customHeight="1" x14ac:dyDescent="0.2">
      <c r="B84" s="1" t="str">
        <f>+B49</f>
        <v>First Lien Term Loan</v>
      </c>
      <c r="J84" s="104"/>
      <c r="K84" s="16"/>
      <c r="L84" s="16"/>
      <c r="M84" s="16"/>
      <c r="N84" s="16"/>
      <c r="O84" s="16"/>
    </row>
    <row r="85" spans="2:16" ht="12.95" customHeight="1" x14ac:dyDescent="0.2">
      <c r="B85" s="3" t="str">
        <f>+B50</f>
        <v>Second Lien Term Loan</v>
      </c>
      <c r="C85" s="3"/>
      <c r="D85" s="3"/>
      <c r="E85" s="3"/>
      <c r="F85" s="3"/>
      <c r="G85" s="3"/>
      <c r="H85" s="3"/>
      <c r="I85" s="3"/>
      <c r="J85" s="105"/>
      <c r="K85" s="66"/>
      <c r="L85" s="66"/>
      <c r="M85" s="66"/>
      <c r="N85" s="66"/>
      <c r="O85" s="66"/>
    </row>
    <row r="86" spans="2:16" ht="12.95" customHeight="1" x14ac:dyDescent="0.2">
      <c r="B86" s="69" t="s">
        <v>170</v>
      </c>
      <c r="C86" s="69"/>
      <c r="D86" s="69"/>
      <c r="E86" s="69"/>
      <c r="F86" s="69"/>
      <c r="G86" s="69"/>
      <c r="H86" s="69"/>
      <c r="I86" s="69"/>
      <c r="J86" s="106"/>
      <c r="K86" s="71"/>
      <c r="L86" s="71"/>
      <c r="M86" s="71"/>
      <c r="N86" s="71"/>
      <c r="O86" s="71"/>
    </row>
    <row r="87" spans="2:16" ht="12.95" customHeight="1" x14ac:dyDescent="0.2">
      <c r="B87" s="3" t="str">
        <f>+B51</f>
        <v>Notes</v>
      </c>
      <c r="C87" s="3"/>
      <c r="D87" s="3"/>
      <c r="E87" s="3"/>
      <c r="F87" s="3"/>
      <c r="G87" s="3"/>
      <c r="H87" s="3"/>
      <c r="I87" s="3"/>
      <c r="J87" s="105"/>
      <c r="K87" s="66"/>
      <c r="L87" s="66"/>
      <c r="M87" s="66"/>
      <c r="N87" s="66"/>
      <c r="O87" s="66"/>
    </row>
    <row r="88" spans="2:16" ht="12.95" customHeight="1" x14ac:dyDescent="0.2">
      <c r="B88" s="69" t="s">
        <v>171</v>
      </c>
      <c r="C88" s="4"/>
      <c r="D88" s="4"/>
      <c r="E88" s="4"/>
      <c r="F88" s="4"/>
      <c r="G88" s="4"/>
      <c r="H88" s="4"/>
      <c r="I88" s="4"/>
      <c r="J88" s="106"/>
      <c r="K88" s="71"/>
      <c r="L88" s="71"/>
      <c r="M88" s="71"/>
      <c r="N88" s="71"/>
      <c r="O88" s="71"/>
    </row>
    <row r="89" spans="2:16" ht="12.95" customHeight="1" x14ac:dyDescent="0.2">
      <c r="B89" s="3" t="str">
        <f>+B165</f>
        <v>Equity</v>
      </c>
      <c r="C89" s="3"/>
      <c r="D89" s="3"/>
      <c r="E89" s="3"/>
      <c r="F89" s="3"/>
      <c r="G89" s="3"/>
      <c r="H89" s="3"/>
      <c r="I89" s="3"/>
      <c r="J89" s="105"/>
      <c r="K89" s="66"/>
      <c r="L89" s="66"/>
      <c r="M89" s="66"/>
      <c r="N89" s="66"/>
      <c r="O89" s="66"/>
    </row>
    <row r="90" spans="2:16" ht="12.95" customHeight="1" x14ac:dyDescent="0.2">
      <c r="B90" s="69" t="s">
        <v>172</v>
      </c>
      <c r="C90" s="69"/>
      <c r="D90" s="69"/>
      <c r="E90" s="69"/>
      <c r="F90" s="69"/>
      <c r="G90" s="69"/>
      <c r="H90" s="69"/>
      <c r="I90" s="69"/>
      <c r="J90" s="106"/>
      <c r="K90" s="71"/>
      <c r="L90" s="71"/>
      <c r="M90" s="71"/>
      <c r="N90" s="71"/>
      <c r="O90" s="71"/>
    </row>
    <row r="91" spans="2:16" ht="12.95" customHeight="1" x14ac:dyDescent="0.2">
      <c r="J91" s="107"/>
    </row>
    <row r="92" spans="2:16" ht="12.95" customHeight="1" x14ac:dyDescent="0.2">
      <c r="B92" s="24" t="s">
        <v>173</v>
      </c>
      <c r="J92" s="102"/>
      <c r="O92" s="108"/>
      <c r="P92" s="109"/>
    </row>
    <row r="93" spans="2:16" ht="12.95" customHeight="1" x14ac:dyDescent="0.2">
      <c r="B93" s="1" t="s">
        <v>174</v>
      </c>
      <c r="J93" s="110"/>
      <c r="K93" s="110"/>
      <c r="L93" s="111"/>
      <c r="M93" s="111"/>
      <c r="N93" s="111"/>
      <c r="O93" s="111"/>
      <c r="P93" s="109"/>
    </row>
    <row r="94" spans="2:16" ht="12.95" customHeight="1" x14ac:dyDescent="0.2">
      <c r="B94" s="1" t="s">
        <v>175</v>
      </c>
      <c r="J94" s="110"/>
      <c r="K94" s="110"/>
      <c r="L94" s="111"/>
      <c r="M94" s="111"/>
      <c r="N94" s="111"/>
      <c r="O94" s="111"/>
      <c r="P94" s="109"/>
    </row>
    <row r="95" spans="2:16" ht="12.95" customHeight="1" x14ac:dyDescent="0.2">
      <c r="B95" s="1" t="s">
        <v>176</v>
      </c>
      <c r="J95" s="112"/>
      <c r="K95" s="113"/>
      <c r="L95" s="114"/>
      <c r="M95" s="114"/>
      <c r="N95" s="114"/>
      <c r="O95" s="114"/>
    </row>
    <row r="96" spans="2:16" ht="12.95" customHeight="1" x14ac:dyDescent="0.2">
      <c r="J96" s="107"/>
    </row>
    <row r="97" spans="1:17" ht="12.95" customHeight="1" x14ac:dyDescent="0.2">
      <c r="B97" s="1" t="s">
        <v>177</v>
      </c>
      <c r="J97" s="112"/>
      <c r="K97" s="110"/>
      <c r="L97" s="111"/>
      <c r="M97" s="111"/>
      <c r="N97" s="111"/>
      <c r="O97" s="111"/>
    </row>
    <row r="98" spans="1:17" ht="12.95" customHeight="1" x14ac:dyDescent="0.2">
      <c r="B98" s="1" t="s">
        <v>178</v>
      </c>
      <c r="J98" s="115"/>
      <c r="K98" s="110"/>
      <c r="L98" s="111"/>
      <c r="M98" s="111"/>
      <c r="N98" s="111"/>
      <c r="O98" s="111"/>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16">
        <f>+I103-1</f>
        <v>2017</v>
      </c>
      <c r="I103" s="116">
        <f>+J103-1</f>
        <v>2018</v>
      </c>
      <c r="J103" s="117">
        <f>+K103-1</f>
        <v>2019</v>
      </c>
      <c r="K103" s="118">
        <f>+E7</f>
        <v>2020</v>
      </c>
      <c r="L103" s="118">
        <f>+K103+1</f>
        <v>2021</v>
      </c>
      <c r="M103" s="118">
        <f>+L103+1</f>
        <v>2022</v>
      </c>
      <c r="N103" s="118">
        <f>+M103+1</f>
        <v>2023</v>
      </c>
      <c r="O103" s="118">
        <f>+N103+1</f>
        <v>2024</v>
      </c>
    </row>
    <row r="104" spans="1:17" ht="12.95" customHeight="1" x14ac:dyDescent="0.2">
      <c r="B104" s="4" t="s">
        <v>33</v>
      </c>
      <c r="C104" s="4"/>
      <c r="D104" s="4"/>
      <c r="E104" s="4"/>
      <c r="F104" s="4"/>
      <c r="G104" s="4"/>
      <c r="H104" s="119">
        <v>900</v>
      </c>
      <c r="I104" s="119">
        <v>963</v>
      </c>
      <c r="J104" s="231">
        <v>1030.4100000000001</v>
      </c>
      <c r="K104" s="232">
        <f>+J104*(1+K126)</f>
        <v>1102.5387000000001</v>
      </c>
      <c r="L104" s="232">
        <f>+K104*(1+L126)</f>
        <v>1179.7164090000001</v>
      </c>
      <c r="M104" s="232">
        <f>+L104*(1+M126)</f>
        <v>1262.2965576300003</v>
      </c>
      <c r="N104" s="232">
        <f>+M104*(1+N126)</f>
        <v>1350.6573166641003</v>
      </c>
      <c r="O104" s="232">
        <f>+N104*(1+O126)</f>
        <v>1445.2033288305875</v>
      </c>
    </row>
    <row r="105" spans="1:17" ht="12.95" customHeight="1" x14ac:dyDescent="0.2">
      <c r="B105" s="3" t="s">
        <v>24</v>
      </c>
      <c r="C105" s="3"/>
      <c r="D105" s="3"/>
      <c r="E105" s="3"/>
      <c r="F105" s="3"/>
      <c r="G105" s="3"/>
      <c r="H105" s="120">
        <v>-513</v>
      </c>
      <c r="I105" s="120">
        <v>-547.947</v>
      </c>
      <c r="J105" s="127">
        <v>-585.2728800000001</v>
      </c>
      <c r="K105" s="233">
        <f>-(K104*(1-K127))</f>
        <v>-624.03690420000009</v>
      </c>
      <c r="L105" s="233">
        <f>-(L104*(1-L127))</f>
        <v>-665.36005467600012</v>
      </c>
      <c r="M105" s="233">
        <f>-(M104*(1-M127))</f>
        <v>-709.41066538806024</v>
      </c>
      <c r="N105" s="233">
        <f>-(N104*(1-N127))</f>
        <v>-756.36809733189625</v>
      </c>
      <c r="O105" s="233">
        <f>-(O104*(1-O127))</f>
        <v>-806.42345748746789</v>
      </c>
    </row>
    <row r="106" spans="1:17" ht="12.95" customHeight="1" x14ac:dyDescent="0.2">
      <c r="B106" s="4" t="s">
        <v>17</v>
      </c>
      <c r="C106" s="4"/>
      <c r="D106" s="4"/>
      <c r="E106" s="4"/>
      <c r="F106" s="4"/>
      <c r="G106" s="4"/>
      <c r="H106" s="121">
        <f t="shared" ref="H106:O106" si="2">SUM(H104:H105)</f>
        <v>387</v>
      </c>
      <c r="I106" s="121">
        <f t="shared" si="2"/>
        <v>415.053</v>
      </c>
      <c r="J106" s="126">
        <f t="shared" si="2"/>
        <v>445.13711999999998</v>
      </c>
      <c r="K106" s="62">
        <f t="shared" si="2"/>
        <v>478.50179579999997</v>
      </c>
      <c r="L106" s="62">
        <f t="shared" si="2"/>
        <v>514.35635432399999</v>
      </c>
      <c r="M106" s="62">
        <f t="shared" si="2"/>
        <v>552.88589224194004</v>
      </c>
      <c r="N106" s="62">
        <f t="shared" si="2"/>
        <v>594.28921933220408</v>
      </c>
      <c r="O106" s="62">
        <f t="shared" si="2"/>
        <v>638.77987134311957</v>
      </c>
    </row>
    <row r="107" spans="1:17" ht="12.95" customHeight="1" x14ac:dyDescent="0.2">
      <c r="B107" s="3" t="s">
        <v>18</v>
      </c>
      <c r="C107" s="3"/>
      <c r="D107" s="3"/>
      <c r="E107" s="3"/>
      <c r="F107" s="3"/>
      <c r="G107" s="3"/>
      <c r="H107" s="120">
        <v>-252.00000000000003</v>
      </c>
      <c r="I107" s="120">
        <v>-270.60300000000001</v>
      </c>
      <c r="J107" s="127">
        <v>-290.57562000000007</v>
      </c>
      <c r="K107" s="62">
        <f>-K104*K128</f>
        <v>-309.26210535000007</v>
      </c>
      <c r="L107" s="62">
        <f>-L104*L128</f>
        <v>-329.14087811100006</v>
      </c>
      <c r="M107" s="62">
        <f>-M104*M128</f>
        <v>-350.28729474232512</v>
      </c>
      <c r="N107" s="62">
        <f>-N104*N128</f>
        <v>-372.78141939929174</v>
      </c>
      <c r="O107" s="62">
        <f>-O104*O128</f>
        <v>-396.70831376399627</v>
      </c>
    </row>
    <row r="108" spans="1:17" ht="12.95" customHeight="1" x14ac:dyDescent="0.2">
      <c r="B108" s="69" t="s">
        <v>25</v>
      </c>
      <c r="C108" s="69"/>
      <c r="D108" s="69"/>
      <c r="E108" s="69"/>
      <c r="F108" s="69"/>
      <c r="G108" s="69"/>
      <c r="H108" s="122">
        <f t="shared" ref="H108:O108" si="3">+SUM(H106:H107)</f>
        <v>134.99999999999997</v>
      </c>
      <c r="I108" s="122">
        <f t="shared" si="3"/>
        <v>144.44999999999999</v>
      </c>
      <c r="J108" s="128">
        <f t="shared" si="3"/>
        <v>154.56149999999991</v>
      </c>
      <c r="K108" s="96">
        <f t="shared" si="3"/>
        <v>169.2396904499999</v>
      </c>
      <c r="L108" s="96">
        <f t="shared" si="3"/>
        <v>185.21547621299993</v>
      </c>
      <c r="M108" s="96">
        <f t="shared" si="3"/>
        <v>202.59859749961493</v>
      </c>
      <c r="N108" s="96">
        <f t="shared" si="3"/>
        <v>221.50779993291235</v>
      </c>
      <c r="O108" s="96">
        <f t="shared" si="3"/>
        <v>242.07155757912329</v>
      </c>
    </row>
    <row r="109" spans="1:17" ht="12.95" customHeight="1" x14ac:dyDescent="0.2">
      <c r="B109" s="4" t="s">
        <v>20</v>
      </c>
      <c r="C109" s="4"/>
      <c r="D109" s="4"/>
      <c r="E109" s="4"/>
      <c r="F109" s="4"/>
      <c r="G109" s="4"/>
      <c r="H109" s="120">
        <v>0</v>
      </c>
      <c r="I109" s="120">
        <v>5.0000000000000001E-3</v>
      </c>
      <c r="J109" s="127">
        <v>7.4999999999999997E-3</v>
      </c>
      <c r="K109" s="62"/>
      <c r="L109" s="62"/>
      <c r="M109" s="62"/>
      <c r="N109" s="62"/>
      <c r="O109" s="62"/>
      <c r="Q109" s="4"/>
    </row>
    <row r="110" spans="1:17" ht="12.95" customHeight="1" x14ac:dyDescent="0.2">
      <c r="B110" s="3" t="s">
        <v>198</v>
      </c>
      <c r="C110" s="3"/>
      <c r="D110" s="3"/>
      <c r="E110" s="3"/>
      <c r="F110" s="3"/>
      <c r="G110" s="3"/>
      <c r="H110" s="120">
        <v>0</v>
      </c>
      <c r="I110" s="120">
        <v>0</v>
      </c>
      <c r="J110" s="127">
        <v>0</v>
      </c>
      <c r="K110" s="62"/>
      <c r="L110" s="62"/>
      <c r="M110" s="62"/>
      <c r="N110" s="62"/>
      <c r="O110" s="62"/>
      <c r="Q110" s="4"/>
    </row>
    <row r="111" spans="1:17" ht="12.95" customHeight="1" x14ac:dyDescent="0.2">
      <c r="B111" s="4" t="s">
        <v>26</v>
      </c>
      <c r="C111" s="4"/>
      <c r="D111" s="4"/>
      <c r="E111" s="4"/>
      <c r="F111" s="4"/>
      <c r="G111" s="4"/>
      <c r="H111" s="121">
        <f t="shared" ref="H111:O111" si="4">+SUM(H108:H110)</f>
        <v>134.99999999999997</v>
      </c>
      <c r="I111" s="121">
        <f t="shared" si="4"/>
        <v>144.45499999999998</v>
      </c>
      <c r="J111" s="126">
        <f t="shared" si="4"/>
        <v>154.5689999999999</v>
      </c>
      <c r="K111" s="222">
        <f t="shared" si="4"/>
        <v>169.2396904499999</v>
      </c>
      <c r="L111" s="222">
        <f t="shared" si="4"/>
        <v>185.21547621299993</v>
      </c>
      <c r="M111" s="222">
        <f t="shared" si="4"/>
        <v>202.59859749961493</v>
      </c>
      <c r="N111" s="222">
        <f t="shared" si="4"/>
        <v>221.50779993291235</v>
      </c>
      <c r="O111" s="222">
        <f t="shared" si="4"/>
        <v>242.07155757912329</v>
      </c>
    </row>
    <row r="112" spans="1:17" ht="12.95" customHeight="1" x14ac:dyDescent="0.2">
      <c r="B112" s="4" t="s">
        <v>22</v>
      </c>
      <c r="C112" s="4"/>
      <c r="D112" s="4"/>
      <c r="E112" s="4"/>
      <c r="F112" s="4"/>
      <c r="G112" s="4"/>
      <c r="H112" s="120">
        <v>-47.249999999999986</v>
      </c>
      <c r="I112" s="120">
        <v>-37.558299999999996</v>
      </c>
      <c r="J112" s="127">
        <v>-40.187939999999976</v>
      </c>
      <c r="K112" s="62">
        <f>-K111*K131</f>
        <v>-44.002319516999975</v>
      </c>
      <c r="L112" s="62">
        <f>-L111*L131</f>
        <v>-48.156023815379982</v>
      </c>
      <c r="M112" s="62">
        <f>-M111*M131</f>
        <v>-52.675635349899885</v>
      </c>
      <c r="N112" s="62">
        <f>-N111*N131</f>
        <v>-57.592027982557212</v>
      </c>
      <c r="O112" s="62">
        <f>-O111*O131</f>
        <v>-62.938604970572058</v>
      </c>
    </row>
    <row r="113" spans="2:15" ht="12.95" customHeight="1" x14ac:dyDescent="0.2">
      <c r="B113" s="20" t="s">
        <v>23</v>
      </c>
      <c r="C113" s="21"/>
      <c r="D113" s="21"/>
      <c r="E113" s="21"/>
      <c r="F113" s="21"/>
      <c r="G113" s="21"/>
      <c r="H113" s="122">
        <f t="shared" ref="H113:O113" si="5">+SUM(H111:H112)</f>
        <v>87.749999999999986</v>
      </c>
      <c r="I113" s="122">
        <f t="shared" si="5"/>
        <v>106.89669999999998</v>
      </c>
      <c r="J113" s="128">
        <f t="shared" si="5"/>
        <v>114.38105999999993</v>
      </c>
      <c r="K113" s="234">
        <f t="shared" si="5"/>
        <v>125.23737093299992</v>
      </c>
      <c r="L113" s="234">
        <f t="shared" si="5"/>
        <v>137.05945239761996</v>
      </c>
      <c r="M113" s="234">
        <f t="shared" si="5"/>
        <v>149.92296214971503</v>
      </c>
      <c r="N113" s="234">
        <f t="shared" si="5"/>
        <v>163.91577195035512</v>
      </c>
      <c r="O113" s="235">
        <f t="shared" si="5"/>
        <v>179.13295260855125</v>
      </c>
    </row>
    <row r="114" spans="2:15" ht="12.95" customHeight="1" x14ac:dyDescent="0.2">
      <c r="B114" s="4"/>
      <c r="C114" s="4"/>
      <c r="D114" s="4"/>
      <c r="E114" s="4"/>
      <c r="F114" s="4"/>
      <c r="G114" s="4"/>
      <c r="H114" s="123"/>
      <c r="I114" s="123"/>
      <c r="J114" s="124"/>
      <c r="K114" s="244"/>
      <c r="L114" s="244"/>
      <c r="M114" s="244"/>
      <c r="N114" s="244"/>
      <c r="O114" s="244"/>
    </row>
    <row r="115" spans="2:15" ht="12.95" customHeight="1" x14ac:dyDescent="0.2">
      <c r="B115" s="2" t="s">
        <v>37</v>
      </c>
      <c r="C115" s="3"/>
      <c r="D115" s="3"/>
      <c r="E115" s="3"/>
      <c r="F115" s="3"/>
      <c r="G115" s="3"/>
      <c r="H115" s="60"/>
      <c r="I115" s="60"/>
      <c r="J115" s="125"/>
      <c r="K115" s="60"/>
      <c r="L115" s="60"/>
      <c r="M115" s="60"/>
      <c r="N115" s="60"/>
      <c r="O115" s="60"/>
    </row>
    <row r="116" spans="2:15" ht="12.95" customHeight="1" x14ac:dyDescent="0.2">
      <c r="B116" s="4" t="s">
        <v>19</v>
      </c>
      <c r="C116" s="4"/>
      <c r="D116" s="4"/>
      <c r="E116" s="4"/>
      <c r="F116" s="4"/>
      <c r="G116" s="4"/>
      <c r="H116" s="121">
        <f t="shared" ref="H116:O116" si="6">+H108</f>
        <v>134.99999999999997</v>
      </c>
      <c r="I116" s="121">
        <f t="shared" si="6"/>
        <v>144.44999999999999</v>
      </c>
      <c r="J116" s="126">
        <f t="shared" si="6"/>
        <v>154.56149999999991</v>
      </c>
      <c r="K116" s="222">
        <f t="shared" si="6"/>
        <v>169.2396904499999</v>
      </c>
      <c r="L116" s="222">
        <f t="shared" si="6"/>
        <v>185.21547621299993</v>
      </c>
      <c r="M116" s="222">
        <f t="shared" si="6"/>
        <v>202.59859749961493</v>
      </c>
      <c r="N116" s="222">
        <f t="shared" si="6"/>
        <v>221.50779993291235</v>
      </c>
      <c r="O116" s="222">
        <f t="shared" si="6"/>
        <v>242.07155757912329</v>
      </c>
    </row>
    <row r="117" spans="2:15" ht="12.95" customHeight="1" x14ac:dyDescent="0.2">
      <c r="B117" s="3" t="s">
        <v>34</v>
      </c>
      <c r="C117" s="3"/>
      <c r="D117" s="3"/>
      <c r="E117" s="3"/>
      <c r="F117" s="3"/>
      <c r="G117" s="3"/>
      <c r="H117" s="120">
        <v>31.500000000000004</v>
      </c>
      <c r="I117" s="120">
        <v>34.668000000000006</v>
      </c>
      <c r="J117" s="127">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21">
        <f t="shared" ref="H118:O118" si="7">SUM(H116:H117)</f>
        <v>166.49999999999997</v>
      </c>
      <c r="I118" s="121">
        <f t="shared" si="7"/>
        <v>179.11799999999999</v>
      </c>
      <c r="J118" s="126">
        <f t="shared" si="7"/>
        <v>192.68666999999994</v>
      </c>
      <c r="K118" s="222">
        <f t="shared" si="7"/>
        <v>211.13616104999991</v>
      </c>
      <c r="L118" s="222">
        <f t="shared" si="7"/>
        <v>231.22441616399993</v>
      </c>
      <c r="M118" s="222">
        <f t="shared" si="7"/>
        <v>253.09045980481494</v>
      </c>
      <c r="N118" s="222">
        <f t="shared" si="7"/>
        <v>276.88474991614049</v>
      </c>
      <c r="O118" s="222">
        <f t="shared" si="7"/>
        <v>302.770097390008</v>
      </c>
    </row>
    <row r="119" spans="2:15" ht="12.95" customHeight="1" x14ac:dyDescent="0.2">
      <c r="B119" s="4" t="s">
        <v>38</v>
      </c>
      <c r="C119" s="4"/>
      <c r="D119" s="4"/>
      <c r="E119" s="4"/>
      <c r="F119" s="4"/>
      <c r="G119" s="4"/>
      <c r="H119" s="120">
        <v>7</v>
      </c>
      <c r="I119" s="120">
        <v>5</v>
      </c>
      <c r="J119" s="127">
        <v>2</v>
      </c>
      <c r="K119" s="120">
        <v>0</v>
      </c>
      <c r="L119" s="120">
        <v>0</v>
      </c>
      <c r="M119" s="120">
        <v>0</v>
      </c>
      <c r="N119" s="120">
        <v>0</v>
      </c>
      <c r="O119" s="120">
        <v>0</v>
      </c>
    </row>
    <row r="120" spans="2:15" s="76" customFormat="1" ht="12.95" customHeight="1" x14ac:dyDescent="0.2">
      <c r="B120" s="20" t="s">
        <v>36</v>
      </c>
      <c r="C120" s="21"/>
      <c r="D120" s="21"/>
      <c r="E120" s="21"/>
      <c r="F120" s="21"/>
      <c r="G120" s="21"/>
      <c r="H120" s="122">
        <f t="shared" ref="H120:O120" si="8">+SUM(H118:H119)</f>
        <v>173.49999999999997</v>
      </c>
      <c r="I120" s="122">
        <f t="shared" si="8"/>
        <v>184.11799999999999</v>
      </c>
      <c r="J120" s="128">
        <f t="shared" si="8"/>
        <v>194.68666999999994</v>
      </c>
      <c r="K120" s="96">
        <f t="shared" si="8"/>
        <v>211.13616104999991</v>
      </c>
      <c r="L120" s="96">
        <f t="shared" si="8"/>
        <v>231.22441616399993</v>
      </c>
      <c r="M120" s="96">
        <f t="shared" si="8"/>
        <v>253.09045980481494</v>
      </c>
      <c r="N120" s="96">
        <f t="shared" si="8"/>
        <v>276.88474991614049</v>
      </c>
      <c r="O120" s="97">
        <f t="shared" si="8"/>
        <v>302.770097390008</v>
      </c>
    </row>
    <row r="121" spans="2:15" ht="12.95" customHeight="1" x14ac:dyDescent="0.2">
      <c r="B121" s="4"/>
      <c r="C121" s="4"/>
      <c r="D121" s="4"/>
      <c r="E121" s="4"/>
      <c r="F121" s="4"/>
      <c r="G121" s="4"/>
      <c r="H121" s="123"/>
      <c r="I121" s="123"/>
      <c r="J121" s="124"/>
      <c r="K121" s="243"/>
      <c r="L121" s="243"/>
      <c r="M121" s="243"/>
      <c r="N121" s="243"/>
      <c r="O121" s="243"/>
    </row>
    <row r="122" spans="2:15" ht="12.95" customHeight="1" x14ac:dyDescent="0.2">
      <c r="B122" s="129" t="s">
        <v>114</v>
      </c>
      <c r="C122" s="4"/>
      <c r="D122" s="4"/>
      <c r="E122" s="4"/>
      <c r="F122" s="4"/>
      <c r="G122" s="4"/>
      <c r="H122" s="60"/>
      <c r="I122" s="60"/>
      <c r="J122" s="125"/>
      <c r="K122" s="60"/>
      <c r="L122" s="60"/>
      <c r="M122" s="60"/>
      <c r="N122" s="60"/>
      <c r="O122" s="60"/>
    </row>
    <row r="123" spans="2:15" ht="12.95" customHeight="1" x14ac:dyDescent="0.2">
      <c r="B123" s="4" t="s">
        <v>71</v>
      </c>
      <c r="C123" s="4"/>
      <c r="D123" s="4"/>
      <c r="E123" s="4"/>
      <c r="F123" s="4"/>
      <c r="G123" s="4"/>
      <c r="H123" s="227">
        <v>36</v>
      </c>
      <c r="I123" s="227">
        <v>39.0015</v>
      </c>
      <c r="J123" s="228">
        <v>42.246810000000004</v>
      </c>
      <c r="K123" s="130">
        <f>+K132*K104</f>
        <v>45.755356050000003</v>
      </c>
      <c r="L123" s="130">
        <f>+L132*L104</f>
        <v>49.548089178000005</v>
      </c>
      <c r="M123" s="130">
        <f>+M132*M104</f>
        <v>53.647603699275017</v>
      </c>
      <c r="N123" s="130">
        <f>+N132*N104</f>
        <v>58.078264616556318</v>
      </c>
      <c r="O123" s="130">
        <f>+O132*O104</f>
        <v>62.866344804130563</v>
      </c>
    </row>
    <row r="124" spans="2:15" ht="12.95" customHeight="1" x14ac:dyDescent="0.2">
      <c r="B124" s="4"/>
      <c r="C124" s="4"/>
      <c r="D124" s="4"/>
      <c r="E124" s="4"/>
      <c r="F124" s="4"/>
      <c r="G124" s="4"/>
      <c r="H124" s="4"/>
      <c r="I124" s="4"/>
      <c r="J124" s="131"/>
      <c r="K124" s="4"/>
      <c r="L124" s="4"/>
      <c r="M124" s="4"/>
      <c r="N124" s="4"/>
      <c r="O124" s="4"/>
    </row>
    <row r="125" spans="2:15" ht="12.95" customHeight="1" x14ac:dyDescent="0.2">
      <c r="B125" s="132" t="s">
        <v>27</v>
      </c>
      <c r="C125" s="3"/>
      <c r="D125" s="3"/>
      <c r="E125" s="3"/>
      <c r="F125" s="3"/>
      <c r="G125" s="3"/>
      <c r="H125" s="3"/>
      <c r="I125" s="3"/>
      <c r="J125" s="133"/>
      <c r="K125" s="3"/>
      <c r="L125" s="3"/>
      <c r="M125" s="3"/>
      <c r="N125" s="3"/>
      <c r="O125" s="3"/>
    </row>
    <row r="126" spans="2:15" s="4" customFormat="1" ht="12.95" customHeight="1" x14ac:dyDescent="0.2">
      <c r="B126" s="4" t="s">
        <v>28</v>
      </c>
      <c r="H126" s="134"/>
      <c r="I126" s="193">
        <f>+I104/H104-1</f>
        <v>7.0000000000000062E-2</v>
      </c>
      <c r="J126" s="194">
        <f>+J104/I104-1</f>
        <v>7.0000000000000062E-2</v>
      </c>
      <c r="K126" s="134">
        <v>7.0000000000000007E-2</v>
      </c>
      <c r="L126" s="134">
        <v>7.0000000000000007E-2</v>
      </c>
      <c r="M126" s="134">
        <v>7.0000000000000007E-2</v>
      </c>
      <c r="N126" s="134">
        <v>7.0000000000000007E-2</v>
      </c>
      <c r="O126" s="134">
        <v>7.0000000000000007E-2</v>
      </c>
    </row>
    <row r="127" spans="2:15" s="4" customFormat="1" ht="12.95" customHeight="1" x14ac:dyDescent="0.2">
      <c r="B127" s="4" t="s">
        <v>29</v>
      </c>
      <c r="H127" s="193">
        <f>+H106/H104</f>
        <v>0.43</v>
      </c>
      <c r="I127" s="193">
        <f>+I106/I104</f>
        <v>0.43099999999999999</v>
      </c>
      <c r="J127" s="194">
        <f>+J106/J104</f>
        <v>0.43199999999999994</v>
      </c>
      <c r="K127" s="134">
        <f>+J127+0.002</f>
        <v>0.43399999999999994</v>
      </c>
      <c r="L127" s="134">
        <f t="shared" ref="L127:O127" si="9">+K127+0.002</f>
        <v>0.43599999999999994</v>
      </c>
      <c r="M127" s="134">
        <f t="shared" si="9"/>
        <v>0.43799999999999994</v>
      </c>
      <c r="N127" s="134">
        <f t="shared" si="9"/>
        <v>0.43999999999999995</v>
      </c>
      <c r="O127" s="134">
        <f t="shared" si="9"/>
        <v>0.44199999999999995</v>
      </c>
    </row>
    <row r="128" spans="2:15" s="4" customFormat="1" ht="12.95" customHeight="1" x14ac:dyDescent="0.2">
      <c r="B128" s="4" t="s">
        <v>116</v>
      </c>
      <c r="H128" s="193">
        <f>-H107/H104</f>
        <v>0.28000000000000003</v>
      </c>
      <c r="I128" s="193">
        <f>-I107/I104</f>
        <v>0.28100000000000003</v>
      </c>
      <c r="J128" s="194">
        <f>-J107/J104</f>
        <v>0.28200000000000003</v>
      </c>
      <c r="K128" s="134">
        <f>+J128-0.0015</f>
        <v>0.28050000000000003</v>
      </c>
      <c r="L128" s="134">
        <f t="shared" ref="L128:O128" si="10">+K128-0.0015</f>
        <v>0.27900000000000003</v>
      </c>
      <c r="M128" s="134">
        <f t="shared" si="10"/>
        <v>0.27750000000000002</v>
      </c>
      <c r="N128" s="134">
        <f t="shared" si="10"/>
        <v>0.27600000000000002</v>
      </c>
      <c r="O128" s="134">
        <f t="shared" si="10"/>
        <v>0.27450000000000002</v>
      </c>
    </row>
    <row r="129" spans="1:24" s="4" customFormat="1" ht="12.95" customHeight="1" x14ac:dyDescent="0.2">
      <c r="B129" s="4" t="s">
        <v>30</v>
      </c>
      <c r="H129" s="135">
        <f t="shared" ref="H129:O129" si="11">+H120/H104</f>
        <v>0.19277777777777774</v>
      </c>
      <c r="I129" s="135">
        <f t="shared" si="11"/>
        <v>0.19119210799584632</v>
      </c>
      <c r="J129" s="136">
        <f t="shared" si="11"/>
        <v>0.18894097495171816</v>
      </c>
      <c r="K129" s="135">
        <f t="shared" si="11"/>
        <v>0.19149999999999992</v>
      </c>
      <c r="L129" s="135">
        <f t="shared" si="11"/>
        <v>0.19599999999999992</v>
      </c>
      <c r="M129" s="135">
        <f t="shared" si="11"/>
        <v>0.2004999999999999</v>
      </c>
      <c r="N129" s="135">
        <f t="shared" si="11"/>
        <v>0.20499999999999993</v>
      </c>
      <c r="O129" s="135">
        <f t="shared" si="11"/>
        <v>0.20949999999999996</v>
      </c>
    </row>
    <row r="130" spans="1:24" s="4" customFormat="1" ht="12.95" customHeight="1" x14ac:dyDescent="0.2">
      <c r="B130" s="4" t="s">
        <v>32</v>
      </c>
      <c r="H130" s="33"/>
      <c r="I130" s="135">
        <f t="shared" ref="I130:O130" si="12">+I120/H120-1</f>
        <v>6.1198847262248002E-2</v>
      </c>
      <c r="J130" s="136">
        <f t="shared" si="12"/>
        <v>5.7401612009689185E-2</v>
      </c>
      <c r="K130" s="135">
        <f t="shared" si="12"/>
        <v>8.4492128043486492E-2</v>
      </c>
      <c r="L130" s="135">
        <f t="shared" si="12"/>
        <v>9.5143603133159393E-2</v>
      </c>
      <c r="M130" s="135">
        <f t="shared" si="12"/>
        <v>9.4566326530612255E-2</v>
      </c>
      <c r="N130" s="135">
        <f t="shared" si="12"/>
        <v>9.4014962593516493E-2</v>
      </c>
      <c r="O130" s="135">
        <f t="shared" si="12"/>
        <v>9.3487804878048975E-2</v>
      </c>
    </row>
    <row r="131" spans="1:24" s="4" customFormat="1" ht="12.95" customHeight="1" x14ac:dyDescent="0.2">
      <c r="B131" s="4" t="s">
        <v>31</v>
      </c>
      <c r="H131" s="193">
        <f>-H112/H111</f>
        <v>0.35</v>
      </c>
      <c r="I131" s="193">
        <f>-I112/I111</f>
        <v>0.26</v>
      </c>
      <c r="J131" s="194">
        <f>-J112/J111</f>
        <v>0.26</v>
      </c>
      <c r="K131" s="134">
        <v>0.26</v>
      </c>
      <c r="L131" s="134">
        <v>0.26</v>
      </c>
      <c r="M131" s="134">
        <v>0.26</v>
      </c>
      <c r="N131" s="134">
        <v>0.26</v>
      </c>
      <c r="O131" s="134">
        <v>0.26</v>
      </c>
    </row>
    <row r="132" spans="1:24" s="4" customFormat="1" ht="12.95" customHeight="1" x14ac:dyDescent="0.2">
      <c r="B132" s="4" t="s">
        <v>117</v>
      </c>
      <c r="H132" s="193">
        <f>+H123/H104</f>
        <v>0.04</v>
      </c>
      <c r="I132" s="193">
        <f>+I123/I104</f>
        <v>4.0500000000000001E-2</v>
      </c>
      <c r="J132" s="194">
        <f>+J123/J104</f>
        <v>4.1000000000000002E-2</v>
      </c>
      <c r="K132" s="134">
        <f>+J132+0.0005</f>
        <v>4.1500000000000002E-2</v>
      </c>
      <c r="L132" s="134">
        <f>+K132+0.0005</f>
        <v>4.2000000000000003E-2</v>
      </c>
      <c r="M132" s="134">
        <f>+L132+0.0005</f>
        <v>4.2500000000000003E-2</v>
      </c>
      <c r="N132" s="134">
        <f>+M132+0.0005</f>
        <v>4.3000000000000003E-2</v>
      </c>
      <c r="O132" s="134">
        <f>+N132+0.0005</f>
        <v>4.3500000000000004E-2</v>
      </c>
    </row>
    <row r="133" spans="1:24" s="4" customFormat="1" ht="12.95" customHeight="1" x14ac:dyDescent="0.2">
      <c r="B133" s="3" t="s">
        <v>115</v>
      </c>
      <c r="C133" s="3"/>
      <c r="D133" s="3"/>
      <c r="E133" s="3"/>
      <c r="F133" s="3"/>
      <c r="G133" s="3"/>
      <c r="H133" s="229">
        <f>+H117/H104</f>
        <v>3.5000000000000003E-2</v>
      </c>
      <c r="I133" s="229">
        <f>+I117/I104</f>
        <v>3.6000000000000004E-2</v>
      </c>
      <c r="J133" s="230">
        <f>+J117/J104</f>
        <v>3.7000000000000005E-2</v>
      </c>
      <c r="K133" s="137">
        <f>+J133+0.001</f>
        <v>3.8000000000000006E-2</v>
      </c>
      <c r="L133" s="137">
        <f>+K133+0.001</f>
        <v>3.9000000000000007E-2</v>
      </c>
      <c r="M133" s="137">
        <f>+L133+0.001</f>
        <v>4.0000000000000008E-2</v>
      </c>
      <c r="N133" s="137">
        <f>+M133+0.001</f>
        <v>4.1000000000000009E-2</v>
      </c>
      <c r="O133" s="13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8"/>
      <c r="I136" s="138"/>
    </row>
    <row r="137" spans="1:24" s="4" customFormat="1" ht="15" x14ac:dyDescent="0.35">
      <c r="E137" s="10" t="str">
        <f>+$K$32</f>
        <v>Fiscal Year Ended 12/31</v>
      </c>
      <c r="F137" s="11"/>
      <c r="G137" s="11"/>
      <c r="H137" s="139" t="s">
        <v>157</v>
      </c>
      <c r="I137" s="140"/>
      <c r="K137" s="10" t="str">
        <f>+$K$32</f>
        <v>Fiscal Year Ended 12/31</v>
      </c>
      <c r="L137" s="11"/>
      <c r="M137" s="11"/>
      <c r="N137" s="11"/>
      <c r="O137" s="11"/>
    </row>
    <row r="138" spans="1:24" s="4" customFormat="1" ht="12.95" customHeight="1" x14ac:dyDescent="0.2">
      <c r="E138" s="74">
        <f>+$H$103</f>
        <v>2017</v>
      </c>
      <c r="F138" s="74">
        <f>+$I$103</f>
        <v>2018</v>
      </c>
      <c r="G138" s="141">
        <f>+$J$103</f>
        <v>2019</v>
      </c>
      <c r="H138" s="142" t="s">
        <v>124</v>
      </c>
      <c r="I138" s="29" t="s">
        <v>125</v>
      </c>
      <c r="J138" s="143"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44">
        <v>0</v>
      </c>
      <c r="H139" s="145"/>
      <c r="I139" s="138"/>
      <c r="J139" s="146">
        <f>+SUM(G139:I139)</f>
        <v>0</v>
      </c>
      <c r="K139" s="221"/>
      <c r="L139" s="221"/>
      <c r="M139" s="221"/>
      <c r="N139" s="221"/>
      <c r="O139" s="221"/>
      <c r="Q139" s="1"/>
      <c r="R139" s="174"/>
      <c r="S139" s="174"/>
      <c r="T139" s="174"/>
      <c r="U139" s="174"/>
      <c r="V139" s="174"/>
      <c r="W139" s="174"/>
      <c r="X139" s="174"/>
    </row>
    <row r="140" spans="1:24" s="4" customFormat="1" ht="12.95" customHeight="1" x14ac:dyDescent="0.2">
      <c r="B140" s="4" t="s">
        <v>41</v>
      </c>
      <c r="E140" s="120">
        <v>77.671232876712338</v>
      </c>
      <c r="F140" s="120">
        <v>81.789041095890411</v>
      </c>
      <c r="G140" s="120">
        <v>86.10275342465755</v>
      </c>
      <c r="H140" s="112"/>
      <c r="J140" s="147">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74"/>
      <c r="R140" s="174"/>
      <c r="S140" s="174"/>
      <c r="T140" s="174"/>
      <c r="U140" s="174"/>
      <c r="V140" s="174"/>
      <c r="W140" s="174"/>
      <c r="X140" s="174"/>
    </row>
    <row r="141" spans="1:24" s="4" customFormat="1" ht="12.95" customHeight="1" x14ac:dyDescent="0.2">
      <c r="B141" s="4" t="s">
        <v>42</v>
      </c>
      <c r="E141" s="148">
        <v>51.557788944723619</v>
      </c>
      <c r="F141" s="148">
        <v>55.348181818181828</v>
      </c>
      <c r="G141" s="148">
        <v>59.418566497461953</v>
      </c>
      <c r="H141" s="112"/>
      <c r="J141" s="149">
        <f>+SUM(G141:I141)</f>
        <v>59.418566497461953</v>
      </c>
      <c r="K141" s="35">
        <f>+K172/K177</f>
        <v>63.677235122449005</v>
      </c>
      <c r="L141" s="35">
        <f>+L172/L177</f>
        <v>67.893883130204117</v>
      </c>
      <c r="M141" s="35">
        <f>+M172/M177</f>
        <v>72.388843406944943</v>
      </c>
      <c r="N141" s="35">
        <f>+N172/N177</f>
        <v>77.180418095091483</v>
      </c>
      <c r="O141" s="35">
        <f>+O172/O177</f>
        <v>82.288107906884505</v>
      </c>
      <c r="Q141" s="174"/>
      <c r="R141" s="174"/>
      <c r="S141" s="174"/>
      <c r="T141" s="174"/>
      <c r="U141" s="174"/>
      <c r="V141" s="174"/>
      <c r="W141" s="174"/>
      <c r="X141" s="174"/>
    </row>
    <row r="142" spans="1:24" s="4" customFormat="1" ht="12.95" customHeight="1" x14ac:dyDescent="0.2">
      <c r="B142" s="3" t="s">
        <v>43</v>
      </c>
      <c r="C142" s="3"/>
      <c r="D142" s="3"/>
      <c r="E142" s="151">
        <v>26.099999999999998</v>
      </c>
      <c r="F142" s="151">
        <v>26.963999999999999</v>
      </c>
      <c r="G142" s="151">
        <v>27.821069999999999</v>
      </c>
      <c r="H142" s="115"/>
      <c r="I142" s="3"/>
      <c r="J142" s="152">
        <f>+SUM(G142:I142)</f>
        <v>27.821069999999999</v>
      </c>
      <c r="K142" s="66">
        <f>+K178*K171</f>
        <v>28.666006199999998</v>
      </c>
      <c r="L142" s="66">
        <f>+L178*L171</f>
        <v>30.672626633999997</v>
      </c>
      <c r="M142" s="66">
        <f>+M178*M171</f>
        <v>32.819710498380005</v>
      </c>
      <c r="N142" s="66">
        <f>+N178*N171</f>
        <v>35.117090233266602</v>
      </c>
      <c r="O142" s="66">
        <f>+O178*O171</f>
        <v>37.575286549595269</v>
      </c>
      <c r="Q142" s="174"/>
      <c r="R142" s="174"/>
      <c r="S142" s="174"/>
      <c r="T142" s="174"/>
      <c r="U142" s="174"/>
      <c r="V142" s="174"/>
      <c r="W142" s="174"/>
      <c r="X142" s="174"/>
    </row>
    <row r="143" spans="1:24" s="69" customFormat="1" ht="12.95" customHeight="1" x14ac:dyDescent="0.2">
      <c r="B143" s="69" t="s">
        <v>62</v>
      </c>
      <c r="E143" s="154">
        <f>+SUM(E139:E142)</f>
        <v>155.32902182143596</v>
      </c>
      <c r="F143" s="154">
        <f>+SUM(F139:F142)</f>
        <v>164.10122291407225</v>
      </c>
      <c r="G143" s="155">
        <f>+SUM(G139:G142)</f>
        <v>173.34238992211951</v>
      </c>
      <c r="H143" s="156"/>
      <c r="J143" s="157">
        <f t="shared" ref="J143:O143" si="13">+SUM(J139:J142)</f>
        <v>173.34238992211951</v>
      </c>
      <c r="K143" s="238">
        <f t="shared" si="13"/>
        <v>182.96286050053121</v>
      </c>
      <c r="L143" s="238">
        <f t="shared" si="13"/>
        <v>195.52950228475203</v>
      </c>
      <c r="M143" s="238">
        <f t="shared" si="13"/>
        <v>208.95895590231126</v>
      </c>
      <c r="N143" s="238">
        <f t="shared" si="13"/>
        <v>223.31043846513344</v>
      </c>
      <c r="O143" s="238">
        <f t="shared" si="13"/>
        <v>238.64722970282941</v>
      </c>
      <c r="Q143" s="174"/>
      <c r="R143" s="174"/>
      <c r="S143" s="174"/>
      <c r="T143" s="174"/>
      <c r="U143" s="174"/>
      <c r="V143" s="174"/>
      <c r="W143" s="174"/>
      <c r="X143" s="174"/>
    </row>
    <row r="144" spans="1:24" s="4" customFormat="1" ht="12.95" customHeight="1" x14ac:dyDescent="0.2">
      <c r="G144" s="131"/>
      <c r="H144" s="112"/>
      <c r="J144" s="107"/>
      <c r="K144" s="239"/>
      <c r="L144" s="239"/>
      <c r="M144" s="239"/>
      <c r="N144" s="239"/>
      <c r="O144" s="239"/>
      <c r="Q144" s="174"/>
      <c r="R144" s="174"/>
      <c r="S144" s="174"/>
      <c r="T144" s="174"/>
      <c r="U144" s="174"/>
      <c r="V144" s="174"/>
      <c r="W144" s="174"/>
      <c r="X144" s="174"/>
    </row>
    <row r="145" spans="2:24" s="4" customFormat="1" ht="12.95" customHeight="1" x14ac:dyDescent="0.2">
      <c r="B145" s="4" t="s">
        <v>44</v>
      </c>
      <c r="E145" s="148">
        <v>144.5</v>
      </c>
      <c r="F145" s="148">
        <v>148.83349999999999</v>
      </c>
      <c r="G145" s="158">
        <v>152.95513999999997</v>
      </c>
      <c r="J145" s="149">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74"/>
      <c r="R145" s="174"/>
      <c r="S145" s="174"/>
      <c r="T145" s="174"/>
      <c r="U145" s="174"/>
      <c r="V145" s="174"/>
      <c r="W145" s="174"/>
      <c r="X145" s="174"/>
    </row>
    <row r="146" spans="2:24" s="4" customFormat="1" ht="12.95" customHeight="1" x14ac:dyDescent="0.2">
      <c r="B146" s="4" t="s">
        <v>45</v>
      </c>
      <c r="E146" s="159">
        <v>0</v>
      </c>
      <c r="F146" s="159">
        <v>0</v>
      </c>
      <c r="G146" s="160">
        <v>0</v>
      </c>
      <c r="H146" s="35">
        <f>+E29</f>
        <v>1733.7491221737703</v>
      </c>
      <c r="J146" s="149">
        <f>+SUM(G146:I146)</f>
        <v>1733.7491221737703</v>
      </c>
      <c r="K146" s="35">
        <f>+J146</f>
        <v>1733.7491221737703</v>
      </c>
      <c r="L146" s="35">
        <f>+K146</f>
        <v>1733.7491221737703</v>
      </c>
      <c r="M146" s="35">
        <f>+L146</f>
        <v>1733.7491221737703</v>
      </c>
      <c r="N146" s="35">
        <f>+M146</f>
        <v>1733.7491221737703</v>
      </c>
      <c r="O146" s="35">
        <f>+N146</f>
        <v>1733.7491221737703</v>
      </c>
      <c r="Q146" s="174"/>
      <c r="R146" s="174"/>
      <c r="S146" s="174"/>
      <c r="T146" s="174"/>
      <c r="U146" s="174"/>
      <c r="V146" s="174"/>
      <c r="W146" s="174"/>
      <c r="X146" s="174"/>
    </row>
    <row r="147" spans="2:24" s="4" customFormat="1" ht="12.95" customHeight="1" x14ac:dyDescent="0.2">
      <c r="B147" s="4" t="s">
        <v>145</v>
      </c>
      <c r="E147" s="159">
        <v>0</v>
      </c>
      <c r="F147" s="159">
        <v>0</v>
      </c>
      <c r="G147" s="160">
        <v>0</v>
      </c>
      <c r="H147" s="35">
        <f>+M49</f>
        <v>23.41553369999999</v>
      </c>
      <c r="J147" s="149">
        <f>+SUM(G147:I147)</f>
        <v>23.41553369999999</v>
      </c>
      <c r="K147" s="35">
        <f>+K39</f>
        <v>19.928359361428566</v>
      </c>
      <c r="L147" s="35">
        <f>+L39</f>
        <v>16.441185022857137</v>
      </c>
      <c r="M147" s="35">
        <f>+M39</f>
        <v>12.954010684285711</v>
      </c>
      <c r="N147" s="35">
        <f>+N39</f>
        <v>9.4668363457142846</v>
      </c>
      <c r="O147" s="35">
        <f>+O39</f>
        <v>5.9796620071428563</v>
      </c>
      <c r="Q147" s="174"/>
      <c r="R147" s="174"/>
      <c r="S147" s="174"/>
      <c r="T147" s="174"/>
      <c r="U147" s="174"/>
      <c r="V147" s="174"/>
      <c r="W147" s="174"/>
      <c r="X147" s="174"/>
    </row>
    <row r="148" spans="2:24" s="4" customFormat="1" ht="12.95" customHeight="1" x14ac:dyDescent="0.2">
      <c r="B148" s="4" t="s">
        <v>56</v>
      </c>
      <c r="E148" s="148">
        <v>22.5</v>
      </c>
      <c r="F148" s="148">
        <v>28.89</v>
      </c>
      <c r="G148" s="158">
        <v>36.064350000000005</v>
      </c>
      <c r="J148" s="149">
        <f>+SUM(G148:I148)</f>
        <v>36.064350000000005</v>
      </c>
      <c r="K148" s="35">
        <f>+K179*K171</f>
        <v>44.101548000000001</v>
      </c>
      <c r="L148" s="35">
        <f>+L179*L171</f>
        <v>47.188656360000003</v>
      </c>
      <c r="M148" s="35">
        <f>+M179*M171</f>
        <v>50.491862305200016</v>
      </c>
      <c r="N148" s="35">
        <f>+N179*N171</f>
        <v>54.026292666564018</v>
      </c>
      <c r="O148" s="35">
        <f>+O179*O171</f>
        <v>57.808133153223501</v>
      </c>
      <c r="Q148" s="174"/>
      <c r="R148" s="174"/>
      <c r="S148" s="174"/>
      <c r="T148" s="174"/>
      <c r="U148" s="174"/>
      <c r="V148" s="174"/>
      <c r="W148" s="174"/>
      <c r="X148" s="174"/>
    </row>
    <row r="149" spans="2:24" s="4" customFormat="1" ht="12.95" customHeight="1" x14ac:dyDescent="0.2">
      <c r="B149" s="20" t="s">
        <v>46</v>
      </c>
      <c r="C149" s="21"/>
      <c r="D149" s="21"/>
      <c r="E149" s="161">
        <f>+SUM(E143:E148)</f>
        <v>322.32902182143596</v>
      </c>
      <c r="F149" s="161">
        <f>+SUM(F143:F148)</f>
        <v>341.82472291407225</v>
      </c>
      <c r="G149" s="162">
        <f>+SUM(G143:G148)</f>
        <v>362.36187992211944</v>
      </c>
      <c r="H149" s="17"/>
      <c r="I149" s="18"/>
      <c r="J149" s="163">
        <f t="shared" ref="J149:O149" si="14">+SUM(J143:J148)</f>
        <v>2119.5265357958901</v>
      </c>
      <c r="K149" s="240">
        <f t="shared" si="14"/>
        <v>2137.5559154857301</v>
      </c>
      <c r="L149" s="240">
        <f t="shared" si="14"/>
        <v>2153.2616405183794</v>
      </c>
      <c r="M149" s="240">
        <f t="shared" si="14"/>
        <v>2169.662867136642</v>
      </c>
      <c r="N149" s="240">
        <f t="shared" si="14"/>
        <v>2186.7629203555853</v>
      </c>
      <c r="O149" s="241">
        <f t="shared" si="14"/>
        <v>2204.5621827346149</v>
      </c>
      <c r="Q149" s="174"/>
      <c r="R149" s="174"/>
      <c r="S149" s="174"/>
      <c r="T149" s="174"/>
      <c r="U149" s="174"/>
      <c r="V149" s="174"/>
      <c r="W149" s="174"/>
      <c r="X149" s="174"/>
    </row>
    <row r="150" spans="2:24" s="4" customFormat="1" ht="12.95" customHeight="1" x14ac:dyDescent="0.2">
      <c r="G150" s="131"/>
      <c r="H150" s="112"/>
      <c r="J150" s="107"/>
      <c r="Q150" s="174"/>
      <c r="R150" s="174"/>
      <c r="S150" s="174"/>
      <c r="T150" s="174"/>
      <c r="U150" s="174"/>
      <c r="V150" s="174"/>
      <c r="W150" s="174"/>
      <c r="X150" s="174"/>
    </row>
    <row r="151" spans="2:24" s="4" customFormat="1" ht="12.95" customHeight="1" x14ac:dyDescent="0.2">
      <c r="B151" s="4" t="s">
        <v>47</v>
      </c>
      <c r="E151" s="148">
        <v>36.893835616438352</v>
      </c>
      <c r="F151" s="148">
        <v>41.283678082191777</v>
      </c>
      <c r="G151" s="158">
        <v>46.100261095890417</v>
      </c>
      <c r="J151" s="149">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74"/>
      <c r="R151" s="174"/>
      <c r="S151" s="174"/>
      <c r="T151" s="174"/>
      <c r="U151" s="174"/>
      <c r="V151" s="174"/>
      <c r="W151" s="174"/>
      <c r="X151" s="174"/>
    </row>
    <row r="152" spans="2:24" s="4" customFormat="1" ht="12.95" customHeight="1" x14ac:dyDescent="0.2">
      <c r="B152" s="4" t="s">
        <v>48</v>
      </c>
      <c r="E152" s="148">
        <v>39.78</v>
      </c>
      <c r="F152" s="148">
        <v>44.201700000000002</v>
      </c>
      <c r="G152" s="158">
        <v>49.047516000000016</v>
      </c>
      <c r="J152" s="149">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74"/>
      <c r="R152" s="174"/>
      <c r="S152" s="174"/>
      <c r="T152" s="174"/>
      <c r="U152" s="174"/>
      <c r="V152" s="174"/>
      <c r="W152" s="174"/>
      <c r="X152" s="174"/>
    </row>
    <row r="153" spans="2:24" s="4" customFormat="1" ht="12.95" customHeight="1" x14ac:dyDescent="0.2">
      <c r="B153" s="3" t="s">
        <v>49</v>
      </c>
      <c r="C153" s="3"/>
      <c r="D153" s="3"/>
      <c r="E153" s="151">
        <v>24.75</v>
      </c>
      <c r="F153" s="151">
        <v>33.705000000000005</v>
      </c>
      <c r="G153" s="158">
        <v>43.792425000000009</v>
      </c>
      <c r="H153" s="3"/>
      <c r="I153" s="3"/>
      <c r="J153" s="152">
        <f>+SUM(G153:I153)</f>
        <v>43.792425000000009</v>
      </c>
      <c r="K153" s="66">
        <f>+K171*K183</f>
        <v>55.126935000000003</v>
      </c>
      <c r="L153" s="66">
        <f>+L171*L183</f>
        <v>58.985820450000006</v>
      </c>
      <c r="M153" s="66">
        <f>+M171*M183</f>
        <v>63.11482788150002</v>
      </c>
      <c r="N153" s="66">
        <f>+N171*N183</f>
        <v>67.532865833205022</v>
      </c>
      <c r="O153" s="66">
        <f>+O171*O183</f>
        <v>72.260166441529378</v>
      </c>
      <c r="Q153" s="174"/>
      <c r="R153" s="174"/>
      <c r="S153" s="174"/>
      <c r="T153" s="174"/>
      <c r="U153" s="174"/>
      <c r="V153" s="174"/>
      <c r="W153" s="174"/>
      <c r="X153" s="174"/>
    </row>
    <row r="154" spans="2:24" s="4" customFormat="1" ht="12.95" customHeight="1" x14ac:dyDescent="0.2">
      <c r="B154" s="69" t="s">
        <v>61</v>
      </c>
      <c r="C154" s="69"/>
      <c r="D154" s="69"/>
      <c r="E154" s="154">
        <f>SUM(E151:E153)</f>
        <v>101.42383561643835</v>
      </c>
      <c r="F154" s="154">
        <f>SUM(F151:F153)</f>
        <v>119.19037808219178</v>
      </c>
      <c r="G154" s="164">
        <f>SUM(G151:G153)</f>
        <v>138.94020209589044</v>
      </c>
      <c r="H154" s="112"/>
      <c r="J154" s="157">
        <f t="shared" ref="J154:O154" si="15">SUM(J151:J153)</f>
        <v>138.94020209589044</v>
      </c>
      <c r="K154" s="242">
        <f t="shared" si="15"/>
        <v>160.54898200869457</v>
      </c>
      <c r="L154" s="238">
        <f t="shared" si="15"/>
        <v>171.35400233323509</v>
      </c>
      <c r="M154" s="238">
        <f t="shared" si="15"/>
        <v>182.88503549136868</v>
      </c>
      <c r="N154" s="238">
        <f t="shared" si="15"/>
        <v>195.19077868020815</v>
      </c>
      <c r="O154" s="238">
        <f t="shared" si="15"/>
        <v>208.32318924157741</v>
      </c>
      <c r="Q154" s="174"/>
      <c r="R154" s="174"/>
      <c r="S154" s="174"/>
      <c r="T154" s="174"/>
      <c r="U154" s="174"/>
      <c r="V154" s="174"/>
      <c r="W154" s="174"/>
      <c r="X154" s="174"/>
    </row>
    <row r="155" spans="2:24" s="4" customFormat="1" ht="12.95" customHeight="1" x14ac:dyDescent="0.2">
      <c r="G155" s="131"/>
      <c r="H155" s="112"/>
      <c r="J155" s="107"/>
      <c r="Q155" s="174"/>
      <c r="R155" s="174"/>
      <c r="S155" s="174"/>
      <c r="T155" s="174"/>
      <c r="U155" s="174"/>
      <c r="V155" s="174"/>
      <c r="W155" s="174"/>
      <c r="X155" s="174"/>
    </row>
    <row r="156" spans="2:24" s="4" customFormat="1" ht="12.95" customHeight="1" x14ac:dyDescent="0.2">
      <c r="B156" s="4" t="s">
        <v>57</v>
      </c>
      <c r="E156" s="148">
        <v>9</v>
      </c>
      <c r="F156" s="148">
        <v>9.6300000000000008</v>
      </c>
      <c r="G156" s="158">
        <v>10.304100000000002</v>
      </c>
      <c r="J156" s="149">
        <f>+SUM(G156:I156)</f>
        <v>10.304100000000002</v>
      </c>
      <c r="K156" s="35">
        <f>+K171*K184</f>
        <v>11.025387</v>
      </c>
      <c r="L156" s="35">
        <f>+L171*L184</f>
        <v>11.797164090000001</v>
      </c>
      <c r="M156" s="35">
        <f>+M171*M184</f>
        <v>12.622965576300004</v>
      </c>
      <c r="N156" s="35">
        <f>+N171*N184</f>
        <v>13.506573166641004</v>
      </c>
      <c r="O156" s="35">
        <f>+O171*O184</f>
        <v>14.452033288305875</v>
      </c>
      <c r="Q156" s="174"/>
      <c r="R156" s="174"/>
      <c r="S156" s="174"/>
      <c r="T156" s="174"/>
      <c r="U156" s="174"/>
      <c r="V156" s="174"/>
      <c r="W156" s="174"/>
      <c r="X156" s="174"/>
    </row>
    <row r="157" spans="2:24" s="4" customFormat="1" ht="12.95" customHeight="1" x14ac:dyDescent="0.2">
      <c r="E157" s="52"/>
      <c r="F157" s="52"/>
      <c r="G157" s="165"/>
      <c r="H157" s="112"/>
      <c r="J157" s="166"/>
      <c r="Q157" s="174"/>
      <c r="R157" s="174"/>
      <c r="S157" s="174"/>
      <c r="T157" s="174"/>
      <c r="U157" s="174"/>
      <c r="V157" s="174"/>
      <c r="W157" s="174"/>
      <c r="X157" s="174"/>
    </row>
    <row r="158" spans="2:24" s="4" customFormat="1" ht="12.95" customHeight="1" x14ac:dyDescent="0.2">
      <c r="B158" s="4" t="s">
        <v>146</v>
      </c>
      <c r="E158" s="159">
        <v>0</v>
      </c>
      <c r="F158" s="159">
        <v>0</v>
      </c>
      <c r="G158" s="160">
        <v>0</v>
      </c>
      <c r="H158" s="112"/>
      <c r="J158" s="149">
        <f>+SUM(G158:I158)</f>
        <v>0</v>
      </c>
      <c r="K158" s="260">
        <f>+J158</f>
        <v>0</v>
      </c>
      <c r="L158" s="260">
        <f>+K158</f>
        <v>0</v>
      </c>
      <c r="M158" s="260">
        <f>+L158</f>
        <v>0</v>
      </c>
      <c r="N158" s="260">
        <f>+M158</f>
        <v>0</v>
      </c>
      <c r="O158" s="260">
        <f>+N158</f>
        <v>0</v>
      </c>
      <c r="Q158" s="174"/>
      <c r="R158" s="174"/>
      <c r="S158" s="174"/>
      <c r="T158" s="174"/>
      <c r="U158" s="174"/>
      <c r="V158" s="174"/>
      <c r="W158" s="174"/>
      <c r="X158" s="174"/>
    </row>
    <row r="159" spans="2:24" s="4" customFormat="1" ht="12.95" customHeight="1" x14ac:dyDescent="0.2">
      <c r="B159" s="4" t="str">
        <f>+B48</f>
        <v>Revolving Credit Facility</v>
      </c>
      <c r="E159" s="159">
        <v>0</v>
      </c>
      <c r="F159" s="159">
        <v>0</v>
      </c>
      <c r="G159" s="160">
        <v>0</v>
      </c>
      <c r="H159" s="90">
        <f>+F48</f>
        <v>0</v>
      </c>
      <c r="J159" s="149">
        <f>+SUM(G159:I159)</f>
        <v>0</v>
      </c>
      <c r="K159" s="35">
        <f>+K256</f>
        <v>0</v>
      </c>
      <c r="L159" s="35">
        <f>+L256</f>
        <v>0</v>
      </c>
      <c r="M159" s="35">
        <f>+M256</f>
        <v>0</v>
      </c>
      <c r="N159" s="35">
        <f>+N256</f>
        <v>0</v>
      </c>
      <c r="O159" s="35">
        <f>+O256</f>
        <v>0</v>
      </c>
      <c r="Q159" s="174"/>
      <c r="R159" s="174"/>
      <c r="S159" s="174"/>
      <c r="T159" s="174"/>
      <c r="U159" s="174"/>
      <c r="V159" s="174"/>
      <c r="W159" s="174"/>
      <c r="X159" s="174"/>
    </row>
    <row r="160" spans="2:24" s="4" customFormat="1" ht="12.95" customHeight="1" x14ac:dyDescent="0.2">
      <c r="B160" s="4" t="str">
        <f>+B49</f>
        <v>First Lien Term Loan</v>
      </c>
      <c r="E160" s="159">
        <v>0</v>
      </c>
      <c r="F160" s="159">
        <v>0</v>
      </c>
      <c r="G160" s="160">
        <v>0</v>
      </c>
      <c r="H160" s="90">
        <f>+F49</f>
        <v>389.37333999999987</v>
      </c>
      <c r="J160" s="149">
        <f>+SUM(G160:I160)</f>
        <v>389.37333999999987</v>
      </c>
      <c r="K160" s="35"/>
      <c r="L160" s="35"/>
      <c r="M160" s="35"/>
      <c r="N160" s="35"/>
      <c r="O160" s="35"/>
      <c r="Q160" s="174" t="s">
        <v>264</v>
      </c>
      <c r="R160" s="174"/>
      <c r="S160" s="174"/>
      <c r="T160" s="174"/>
      <c r="U160" s="174"/>
      <c r="V160" s="174"/>
      <c r="W160" s="174"/>
      <c r="X160" s="174"/>
    </row>
    <row r="161" spans="2:24" s="4" customFormat="1" ht="12.95" customHeight="1" x14ac:dyDescent="0.2">
      <c r="B161" s="4" t="str">
        <f>+B50</f>
        <v>Second Lien Term Loan</v>
      </c>
      <c r="E161" s="159">
        <v>0</v>
      </c>
      <c r="F161" s="159">
        <v>0</v>
      </c>
      <c r="G161" s="160">
        <v>0</v>
      </c>
      <c r="H161" s="90">
        <f>+F50</f>
        <v>194.68666999999994</v>
      </c>
      <c r="J161" s="149">
        <f>+SUM(G161:I161)</f>
        <v>194.68666999999994</v>
      </c>
      <c r="K161" s="35"/>
      <c r="L161" s="35"/>
      <c r="M161" s="35"/>
      <c r="N161" s="35"/>
      <c r="O161" s="35"/>
      <c r="R161" s="174"/>
      <c r="S161" s="174"/>
      <c r="T161" s="174"/>
      <c r="U161" s="174"/>
      <c r="V161" s="174"/>
      <c r="W161" s="174"/>
      <c r="X161" s="174"/>
    </row>
    <row r="162" spans="2:24" s="4" customFormat="1" ht="12.95" customHeight="1" x14ac:dyDescent="0.2">
      <c r="B162" s="3" t="str">
        <f>+B51</f>
        <v>Notes</v>
      </c>
      <c r="C162" s="3"/>
      <c r="D162" s="3"/>
      <c r="E162" s="167">
        <v>0</v>
      </c>
      <c r="F162" s="167">
        <v>0</v>
      </c>
      <c r="G162" s="168">
        <v>0</v>
      </c>
      <c r="H162" s="169">
        <f>+F51</f>
        <v>486.71667499999984</v>
      </c>
      <c r="I162" s="3"/>
      <c r="J162" s="152">
        <f>+SUM(G162:I162)</f>
        <v>486.71667499999984</v>
      </c>
      <c r="K162" s="66"/>
      <c r="L162" s="66"/>
      <c r="M162" s="66"/>
      <c r="N162" s="66"/>
      <c r="O162" s="66"/>
      <c r="R162" s="174"/>
      <c r="S162" s="174"/>
      <c r="T162" s="174"/>
      <c r="U162" s="174"/>
      <c r="V162" s="174"/>
      <c r="W162" s="174"/>
      <c r="X162" s="174"/>
    </row>
    <row r="163" spans="2:24" s="69" customFormat="1" ht="12.95" customHeight="1" x14ac:dyDescent="0.2">
      <c r="B163" s="69" t="s">
        <v>50</v>
      </c>
      <c r="E163" s="170">
        <f>+SUM(E158:E162)</f>
        <v>0</v>
      </c>
      <c r="F163" s="170">
        <f>+SUM(F158:F162)</f>
        <v>0</v>
      </c>
      <c r="G163" s="171">
        <f>+SUM(G158:G162)</f>
        <v>0</v>
      </c>
      <c r="H163" s="156"/>
      <c r="J163" s="157">
        <f t="shared" ref="J163:O163" si="16">+SUM(J158:J162)</f>
        <v>1070.7766849999996</v>
      </c>
      <c r="K163" s="238">
        <f t="shared" si="16"/>
        <v>0</v>
      </c>
      <c r="L163" s="238">
        <f t="shared" si="16"/>
        <v>0</v>
      </c>
      <c r="M163" s="238">
        <f t="shared" si="16"/>
        <v>0</v>
      </c>
      <c r="N163" s="238">
        <f t="shared" si="16"/>
        <v>0</v>
      </c>
      <c r="O163" s="238">
        <f t="shared" si="16"/>
        <v>0</v>
      </c>
      <c r="Q163" s="174"/>
      <c r="R163" s="174"/>
      <c r="S163" s="174"/>
      <c r="T163" s="174"/>
      <c r="U163" s="174"/>
      <c r="V163" s="174"/>
      <c r="W163" s="174"/>
      <c r="X163" s="174"/>
    </row>
    <row r="164" spans="2:24" s="4" customFormat="1" ht="12.95" customHeight="1" x14ac:dyDescent="0.2">
      <c r="G164" s="131"/>
      <c r="H164" s="112"/>
      <c r="J164" s="107"/>
      <c r="Q164" s="174"/>
      <c r="R164" s="174"/>
      <c r="S164" s="174"/>
      <c r="T164" s="174"/>
      <c r="U164" s="174"/>
      <c r="V164" s="174"/>
      <c r="W164" s="174"/>
      <c r="X164" s="174"/>
    </row>
    <row r="165" spans="2:24" s="4" customFormat="1" ht="12.95" customHeight="1" x14ac:dyDescent="0.2">
      <c r="B165" s="4" t="s">
        <v>183</v>
      </c>
      <c r="E165" s="148">
        <v>211.90518620499765</v>
      </c>
      <c r="F165" s="148">
        <v>213.00434483188047</v>
      </c>
      <c r="G165" s="158">
        <v>213.11757782622908</v>
      </c>
      <c r="H165" s="35">
        <f>+F52</f>
        <v>977.38021669999966</v>
      </c>
      <c r="I165" s="35">
        <f>-G165-M50</f>
        <v>-290.99224582622907</v>
      </c>
      <c r="J165" s="149">
        <f>+SUM(G165:I165)</f>
        <v>899.50554869999974</v>
      </c>
      <c r="K165" s="35">
        <f>+J165+K113</f>
        <v>1024.7429196329997</v>
      </c>
      <c r="L165" s="35">
        <f>+K165+L113</f>
        <v>1161.8023720306196</v>
      </c>
      <c r="M165" s="35">
        <f>+L165+M113</f>
        <v>1311.7253341803346</v>
      </c>
      <c r="N165" s="35">
        <f>+M165+N113</f>
        <v>1475.6411061306896</v>
      </c>
      <c r="O165" s="35">
        <f>+N165+O113</f>
        <v>1654.7740587392409</v>
      </c>
      <c r="Q165" s="174"/>
      <c r="R165" s="174"/>
      <c r="S165" s="174"/>
      <c r="T165" s="174"/>
      <c r="U165" s="174"/>
      <c r="V165" s="174"/>
      <c r="W165" s="174"/>
      <c r="X165" s="174"/>
    </row>
    <row r="166" spans="2:24" s="69" customFormat="1" ht="12.95" customHeight="1" x14ac:dyDescent="0.2">
      <c r="B166" s="20" t="s">
        <v>51</v>
      </c>
      <c r="C166" s="21"/>
      <c r="D166" s="21"/>
      <c r="E166" s="172">
        <f>+SUM(E154,E156,E163,E165)</f>
        <v>322.32902182143602</v>
      </c>
      <c r="F166" s="172">
        <f>+SUM(F154,F156,F163,F165)</f>
        <v>341.82472291407225</v>
      </c>
      <c r="G166" s="173">
        <f>+SUM(G154,G156,G163,G165)</f>
        <v>362.36187992211956</v>
      </c>
      <c r="H166" s="20"/>
      <c r="I166" s="21"/>
      <c r="J166" s="163">
        <f t="shared" ref="J166:O166" si="17">+SUM(J154,J156,J163,J165)</f>
        <v>2119.5265357958897</v>
      </c>
      <c r="K166" s="22">
        <f t="shared" si="17"/>
        <v>1196.3172886416942</v>
      </c>
      <c r="L166" s="22">
        <f t="shared" si="17"/>
        <v>1344.9535384538547</v>
      </c>
      <c r="M166" s="22">
        <f t="shared" si="17"/>
        <v>1507.2333352480032</v>
      </c>
      <c r="N166" s="22">
        <f t="shared" si="17"/>
        <v>1684.3384579775388</v>
      </c>
      <c r="O166" s="23">
        <f t="shared" si="17"/>
        <v>1877.5492812691241</v>
      </c>
      <c r="Q166" s="174"/>
      <c r="R166" s="174"/>
      <c r="S166" s="174"/>
      <c r="T166" s="174"/>
      <c r="U166" s="174"/>
      <c r="V166" s="174"/>
      <c r="W166" s="174"/>
      <c r="X166" s="174"/>
    </row>
    <row r="167" spans="2:24" s="4" customFormat="1" ht="12.95" customHeight="1" x14ac:dyDescent="0.2">
      <c r="G167" s="131"/>
      <c r="H167" s="112"/>
      <c r="J167" s="107"/>
      <c r="K167" s="150"/>
      <c r="L167" s="150"/>
      <c r="M167" s="150"/>
      <c r="N167" s="150"/>
      <c r="O167" s="150"/>
    </row>
    <row r="168" spans="2:24" s="4" customFormat="1" ht="12.95" customHeight="1" outlineLevel="1" x14ac:dyDescent="0.2">
      <c r="B168" s="4" t="s">
        <v>52</v>
      </c>
      <c r="E168" s="175">
        <f>+IF(ABS(E149-E166)&gt;0.001,1,0)</f>
        <v>0</v>
      </c>
      <c r="F168" s="175">
        <f>+IF(ABS(F149-F166)&gt;0.001,1,0)</f>
        <v>0</v>
      </c>
      <c r="G168" s="176">
        <f>+IF(ABS(G149-G166)&gt;0.001,1,0)</f>
        <v>0</v>
      </c>
      <c r="H168" s="112"/>
      <c r="J168" s="177">
        <f t="shared" ref="J168:O168" si="18">+IF(ABS(J149-J166)&gt;0.001,1,0)</f>
        <v>0</v>
      </c>
      <c r="K168" s="175">
        <f t="shared" si="18"/>
        <v>1</v>
      </c>
      <c r="L168" s="175">
        <f t="shared" si="18"/>
        <v>1</v>
      </c>
      <c r="M168" s="175">
        <f t="shared" si="18"/>
        <v>1</v>
      </c>
      <c r="N168" s="175">
        <f t="shared" si="18"/>
        <v>1</v>
      </c>
      <c r="O168" s="175">
        <f t="shared" si="18"/>
        <v>1</v>
      </c>
    </row>
    <row r="169" spans="2:24" s="4" customFormat="1" ht="12.95" customHeight="1" outlineLevel="1" x14ac:dyDescent="0.2">
      <c r="G169" s="131"/>
      <c r="H169" s="112"/>
      <c r="J169" s="178"/>
    </row>
    <row r="170" spans="2:24" s="4" customFormat="1" ht="12.95" customHeight="1" outlineLevel="1" x14ac:dyDescent="0.2">
      <c r="B170" s="2" t="s">
        <v>58</v>
      </c>
      <c r="C170" s="3"/>
      <c r="D170" s="3"/>
      <c r="E170" s="3"/>
      <c r="F170" s="3"/>
      <c r="G170" s="133"/>
      <c r="H170" s="112"/>
      <c r="J170" s="179"/>
      <c r="K170" s="3"/>
      <c r="L170" s="3"/>
      <c r="M170" s="3"/>
      <c r="N170" s="3"/>
      <c r="O170" s="3"/>
    </row>
    <row r="171" spans="2:24" s="4" customFormat="1" ht="12.95" customHeight="1" outlineLevel="1" x14ac:dyDescent="0.2">
      <c r="B171" s="4" t="str">
        <f>+B104</f>
        <v>Revenue</v>
      </c>
      <c r="E171" s="35">
        <f>+H104</f>
        <v>900</v>
      </c>
      <c r="F171" s="35">
        <f>+I104</f>
        <v>963</v>
      </c>
      <c r="G171" s="236">
        <f>+J104</f>
        <v>1030.4100000000001</v>
      </c>
      <c r="H171" s="145"/>
      <c r="I171" s="181"/>
      <c r="J171" s="180"/>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36">
        <f>-J105</f>
        <v>585.2728800000001</v>
      </c>
      <c r="H172" s="112"/>
      <c r="I172" s="131"/>
      <c r="J172" s="180"/>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7">
        <f>-J107</f>
        <v>290.57562000000007</v>
      </c>
      <c r="H173" s="115"/>
      <c r="I173" s="133"/>
      <c r="J173" s="182"/>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31"/>
      <c r="H174" s="112"/>
      <c r="J174" s="107"/>
    </row>
    <row r="175" spans="2:24" s="69" customFormat="1" ht="12.95" customHeight="1" x14ac:dyDescent="0.2">
      <c r="B175" s="2" t="s">
        <v>121</v>
      </c>
      <c r="C175" s="2"/>
      <c r="D175" s="2"/>
      <c r="E175" s="2"/>
      <c r="F175" s="2"/>
      <c r="G175" s="183"/>
      <c r="H175" s="40"/>
      <c r="I175" s="184"/>
      <c r="J175" s="184"/>
      <c r="K175" s="2"/>
      <c r="L175" s="2"/>
      <c r="M175" s="2"/>
      <c r="N175" s="2"/>
      <c r="O175" s="2"/>
    </row>
    <row r="176" spans="2:24" s="4" customFormat="1" ht="12.95" customHeight="1" x14ac:dyDescent="0.2">
      <c r="B176" s="4" t="s">
        <v>53</v>
      </c>
      <c r="E176" s="185">
        <f>+(E140/E171)*365</f>
        <v>31.500000000000004</v>
      </c>
      <c r="F176" s="185">
        <f>+(F140/F171)*365</f>
        <v>31</v>
      </c>
      <c r="G176" s="186">
        <f>+(G140/G171)*365</f>
        <v>30.5</v>
      </c>
      <c r="H176" s="112"/>
      <c r="I176" s="131"/>
      <c r="J176" s="187"/>
      <c r="K176" s="188">
        <v>30</v>
      </c>
      <c r="L176" s="189">
        <v>30</v>
      </c>
      <c r="M176" s="189">
        <v>30</v>
      </c>
      <c r="N176" s="189">
        <v>30</v>
      </c>
      <c r="O176" s="189">
        <v>30</v>
      </c>
    </row>
    <row r="177" spans="1:15" s="4" customFormat="1" ht="12.95" customHeight="1" x14ac:dyDescent="0.2">
      <c r="B177" s="4" t="s">
        <v>54</v>
      </c>
      <c r="E177" s="190">
        <f>+E172/E141</f>
        <v>9.9499999999999993</v>
      </c>
      <c r="F177" s="190">
        <f>+F172/F141</f>
        <v>9.8999999999999986</v>
      </c>
      <c r="G177" s="191">
        <f>+G172/G141</f>
        <v>9.8499999999999979</v>
      </c>
      <c r="H177" s="112"/>
      <c r="J177" s="192"/>
      <c r="K177" s="53">
        <v>9.7999999999999972</v>
      </c>
      <c r="L177" s="53">
        <v>9.7999999999999972</v>
      </c>
      <c r="M177" s="53">
        <v>9.7999999999999972</v>
      </c>
      <c r="N177" s="53">
        <v>9.7999999999999972</v>
      </c>
      <c r="O177" s="53">
        <v>9.7999999999999972</v>
      </c>
    </row>
    <row r="178" spans="1:15" s="4" customFormat="1" ht="12.95" customHeight="1" x14ac:dyDescent="0.2">
      <c r="B178" s="4" t="s">
        <v>59</v>
      </c>
      <c r="E178" s="193">
        <f>+E142/E171</f>
        <v>2.8999999999999998E-2</v>
      </c>
      <c r="F178" s="193">
        <f>+F142/F171</f>
        <v>2.7999999999999997E-2</v>
      </c>
      <c r="G178" s="194">
        <f>+G142/G171</f>
        <v>2.6999999999999996E-2</v>
      </c>
      <c r="H178" s="112"/>
      <c r="J178" s="195"/>
      <c r="K178" s="134">
        <v>2.5999999999999995E-2</v>
      </c>
      <c r="L178" s="134">
        <v>2.5999999999999995E-2</v>
      </c>
      <c r="M178" s="134">
        <v>2.5999999999999995E-2</v>
      </c>
      <c r="N178" s="134">
        <v>2.5999999999999995E-2</v>
      </c>
      <c r="O178" s="134">
        <v>2.5999999999999995E-2</v>
      </c>
    </row>
    <row r="179" spans="1:15" s="4" customFormat="1" ht="12.95" customHeight="1" x14ac:dyDescent="0.2">
      <c r="B179" s="4" t="s">
        <v>119</v>
      </c>
      <c r="E179" s="193"/>
      <c r="F179" s="193"/>
      <c r="G179" s="194"/>
      <c r="H179" s="112"/>
      <c r="J179" s="195"/>
      <c r="K179" s="134">
        <v>0.04</v>
      </c>
      <c r="L179" s="134">
        <v>0.04</v>
      </c>
      <c r="M179" s="134">
        <v>0.04</v>
      </c>
      <c r="N179" s="134">
        <v>0.04</v>
      </c>
      <c r="O179" s="134">
        <v>0.04</v>
      </c>
    </row>
    <row r="180" spans="1:15" s="4" customFormat="1" ht="12.95" customHeight="1" x14ac:dyDescent="0.2">
      <c r="E180" s="196"/>
      <c r="F180" s="196"/>
      <c r="G180" s="197"/>
      <c r="H180" s="112"/>
      <c r="J180" s="107"/>
    </row>
    <row r="181" spans="1:15" s="4" customFormat="1" ht="12.95" customHeight="1" x14ac:dyDescent="0.2">
      <c r="B181" s="4" t="s">
        <v>55</v>
      </c>
      <c r="E181" s="185">
        <f>+(E151/E172)*365</f>
        <v>26.25</v>
      </c>
      <c r="F181" s="185">
        <f>+(F151/F172)*365</f>
        <v>27.5</v>
      </c>
      <c r="G181" s="198">
        <f>+(G151/G172)*365</f>
        <v>28.75</v>
      </c>
      <c r="H181" s="112"/>
      <c r="J181" s="199"/>
      <c r="K181" s="189">
        <v>30</v>
      </c>
      <c r="L181" s="189">
        <v>30</v>
      </c>
      <c r="M181" s="189">
        <v>30</v>
      </c>
      <c r="N181" s="189">
        <v>30</v>
      </c>
      <c r="O181" s="189">
        <v>30</v>
      </c>
    </row>
    <row r="182" spans="1:15" s="4" customFormat="1" ht="12.95" customHeight="1" x14ac:dyDescent="0.2">
      <c r="B182" s="4" t="s">
        <v>211</v>
      </c>
      <c r="E182" s="193">
        <f>+E152/SUM(E172:E173)</f>
        <v>5.2000000000000005E-2</v>
      </c>
      <c r="F182" s="193">
        <f>+F152/SUM(F172:F173)</f>
        <v>5.4000000000000006E-2</v>
      </c>
      <c r="G182" s="194">
        <f>+G152/SUM(G172:G173)</f>
        <v>5.6000000000000008E-2</v>
      </c>
      <c r="H182" s="112"/>
      <c r="J182" s="195"/>
      <c r="K182" s="134">
        <v>5.800000000000001E-2</v>
      </c>
      <c r="L182" s="134">
        <v>5.800000000000001E-2</v>
      </c>
      <c r="M182" s="134">
        <v>5.800000000000001E-2</v>
      </c>
      <c r="N182" s="134">
        <v>5.800000000000001E-2</v>
      </c>
      <c r="O182" s="134">
        <v>5.800000000000001E-2</v>
      </c>
    </row>
    <row r="183" spans="1:15" s="4" customFormat="1" ht="12.95" customHeight="1" x14ac:dyDescent="0.2">
      <c r="B183" s="4" t="s">
        <v>118</v>
      </c>
      <c r="E183" s="193">
        <f>+E153/E171</f>
        <v>2.75E-2</v>
      </c>
      <c r="F183" s="193">
        <f>+F153/F171</f>
        <v>3.5000000000000003E-2</v>
      </c>
      <c r="G183" s="194">
        <f>+G153/G171</f>
        <v>4.2500000000000003E-2</v>
      </c>
      <c r="H183" s="112"/>
      <c r="J183" s="195"/>
      <c r="K183" s="134">
        <v>0.05</v>
      </c>
      <c r="L183" s="134">
        <v>0.05</v>
      </c>
      <c r="M183" s="134">
        <v>0.05</v>
      </c>
      <c r="N183" s="134">
        <v>0.05</v>
      </c>
      <c r="O183" s="134">
        <v>0.05</v>
      </c>
    </row>
    <row r="184" spans="1:15" s="4" customFormat="1" ht="12.95" customHeight="1" x14ac:dyDescent="0.2">
      <c r="B184" s="4" t="s">
        <v>120</v>
      </c>
      <c r="E184" s="193">
        <f>+E156/E171</f>
        <v>0.01</v>
      </c>
      <c r="F184" s="193">
        <f>+F156/F171</f>
        <v>0.01</v>
      </c>
      <c r="G184" s="194">
        <f>+G156/G171</f>
        <v>0.01</v>
      </c>
      <c r="H184" s="112"/>
      <c r="J184" s="195"/>
      <c r="K184" s="134">
        <v>0.01</v>
      </c>
      <c r="L184" s="134">
        <v>0.01</v>
      </c>
      <c r="M184" s="134">
        <v>0.01</v>
      </c>
      <c r="N184" s="134">
        <v>0.01</v>
      </c>
      <c r="O184" s="134">
        <v>0.01</v>
      </c>
    </row>
    <row r="185" spans="1:15" s="4" customFormat="1" ht="12.95" customHeight="1" x14ac:dyDescent="0.2">
      <c r="G185" s="131"/>
      <c r="H185" s="112"/>
      <c r="J185" s="107"/>
    </row>
    <row r="186" spans="1:15" s="4" customFormat="1" ht="12.95" customHeight="1" x14ac:dyDescent="0.2">
      <c r="B186" s="4" t="s">
        <v>60</v>
      </c>
      <c r="E186" s="200">
        <f>+(E143-E139)-E154</f>
        <v>53.905186204997605</v>
      </c>
      <c r="F186" s="200">
        <f>+(F143-F139)-F154</f>
        <v>44.910844831880468</v>
      </c>
      <c r="G186" s="201">
        <f>+(G143-G139)-G154</f>
        <v>34.402187826229067</v>
      </c>
      <c r="H186" s="202"/>
      <c r="I186" s="200"/>
      <c r="J186" s="102"/>
      <c r="K186" s="200">
        <f>+(K143-K139)-K154</f>
        <v>22.413878491836641</v>
      </c>
      <c r="L186" s="200">
        <f>+(L143-L139)-L154</f>
        <v>24.17549995151694</v>
      </c>
      <c r="M186" s="200">
        <f>+(M143-M139)-M154</f>
        <v>26.073920410942577</v>
      </c>
      <c r="N186" s="200">
        <f>+(N143-N139)-N154</f>
        <v>28.11965978492529</v>
      </c>
      <c r="O186" s="200">
        <f>+(O143-O139)-O154</f>
        <v>30.324040461251997</v>
      </c>
    </row>
    <row r="187" spans="1:15" s="4" customFormat="1" ht="12.95" customHeight="1" x14ac:dyDescent="0.2">
      <c r="B187" s="3" t="s">
        <v>195</v>
      </c>
      <c r="C187" s="3"/>
      <c r="D187" s="3"/>
      <c r="E187" s="203">
        <f>+E186/E171</f>
        <v>5.9894651338886225E-2</v>
      </c>
      <c r="F187" s="203">
        <f>+F186/F171</f>
        <v>4.6636391310363935E-2</v>
      </c>
      <c r="G187" s="204">
        <f>+G186/G171</f>
        <v>3.338689242750853E-2</v>
      </c>
      <c r="H187" s="115"/>
      <c r="I187" s="3"/>
      <c r="J187" s="205"/>
      <c r="K187" s="203">
        <f>+K186/K171</f>
        <v>2.0329334917528644E-2</v>
      </c>
      <c r="L187" s="203">
        <f>+L186/L171</f>
        <v>2.0492636846519387E-2</v>
      </c>
      <c r="M187" s="203">
        <f>+M186/M171</f>
        <v>2.0655938775510207E-2</v>
      </c>
      <c r="N187" s="203">
        <f>+N186/N171</f>
        <v>2.0819240704500967E-2</v>
      </c>
      <c r="O187" s="203">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206"/>
      <c r="J191" s="206"/>
      <c r="K191" s="10" t="str">
        <f>+$K$32</f>
        <v>Fiscal Year Ended 12/31</v>
      </c>
      <c r="L191" s="206"/>
      <c r="M191" s="206"/>
      <c r="N191" s="206"/>
      <c r="O191" s="206"/>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8"/>
      <c r="I193" s="108"/>
      <c r="J193" s="108"/>
      <c r="K193" s="15">
        <f>+K113</f>
        <v>125.23737093299992</v>
      </c>
      <c r="L193" s="15">
        <f>+L113</f>
        <v>137.05945239761996</v>
      </c>
      <c r="M193" s="15">
        <f>+M113</f>
        <v>149.92296214971503</v>
      </c>
      <c r="N193" s="15">
        <f>+N113</f>
        <v>163.91577195035512</v>
      </c>
      <c r="O193" s="15">
        <f>+O113</f>
        <v>179.13295260855125</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c r="L196" s="62"/>
      <c r="M196" s="62"/>
      <c r="N196" s="62"/>
      <c r="O196" s="62"/>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19">+(J140-K140)</f>
        <v>-4.5168657534246393</v>
      </c>
      <c r="L199" s="16">
        <f t="shared" si="19"/>
        <v>-6.3433733424657532</v>
      </c>
      <c r="M199" s="16">
        <f t="shared" si="19"/>
        <v>-6.7874094764383699</v>
      </c>
      <c r="N199" s="16">
        <f t="shared" si="19"/>
        <v>-7.2625281397890546</v>
      </c>
      <c r="O199" s="16">
        <f t="shared" si="19"/>
        <v>-7.7709051095742865</v>
      </c>
    </row>
    <row r="200" spans="2:15" ht="12.95" customHeight="1" x14ac:dyDescent="0.2">
      <c r="B200" s="1" t="str">
        <f>+"(Increase) / Decrease in "&amp;B141</f>
        <v>(Increase) / Decrease in Inventories</v>
      </c>
      <c r="H200" s="38"/>
      <c r="I200" s="38"/>
      <c r="J200" s="38"/>
      <c r="K200" s="16">
        <f t="shared" si="19"/>
        <v>-4.2586686249870525</v>
      </c>
      <c r="L200" s="16">
        <f t="shared" si="19"/>
        <v>-4.2166480077551114</v>
      </c>
      <c r="M200" s="16">
        <f t="shared" si="19"/>
        <v>-4.4949602767408265</v>
      </c>
      <c r="N200" s="16">
        <f t="shared" si="19"/>
        <v>-4.7915746881465395</v>
      </c>
      <c r="O200" s="16">
        <f t="shared" si="19"/>
        <v>-5.1076898117930227</v>
      </c>
    </row>
    <row r="201" spans="2:15" ht="12.95" customHeight="1" x14ac:dyDescent="0.2">
      <c r="B201" s="1" t="str">
        <f>+"(Increase) / Decrease in "&amp;B142</f>
        <v>(Increase) / Decrease in Prepaid Expenses</v>
      </c>
      <c r="H201" s="38"/>
      <c r="I201" s="38"/>
      <c r="J201" s="38"/>
      <c r="K201" s="16">
        <f t="shared" si="19"/>
        <v>-0.84493619999999936</v>
      </c>
      <c r="L201" s="16">
        <f t="shared" si="19"/>
        <v>-2.0066204339999985</v>
      </c>
      <c r="M201" s="16">
        <f t="shared" si="19"/>
        <v>-2.1470838643800079</v>
      </c>
      <c r="N201" s="16">
        <f t="shared" si="19"/>
        <v>-2.2973797348865972</v>
      </c>
      <c r="O201" s="16">
        <f t="shared" si="19"/>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20">+K151-J151</f>
        <v>5.1904433589041119</v>
      </c>
      <c r="L203" s="16">
        <f t="shared" si="20"/>
        <v>3.396423326794519</v>
      </c>
      <c r="M203" s="16">
        <f t="shared" si="20"/>
        <v>3.62059814071727</v>
      </c>
      <c r="N203" s="16">
        <f t="shared" si="20"/>
        <v>3.8595149542878886</v>
      </c>
      <c r="O203" s="16">
        <f t="shared" si="20"/>
        <v>4.1141391908688973</v>
      </c>
    </row>
    <row r="204" spans="2:15" ht="12.95" customHeight="1" x14ac:dyDescent="0.2">
      <c r="B204" s="1" t="str">
        <f>+"Increase / (Decrease) in "&amp;B152</f>
        <v>Increase / (Decrease) in Accrued Liabilities</v>
      </c>
      <c r="H204" s="38"/>
      <c r="I204" s="38"/>
      <c r="J204" s="38"/>
      <c r="K204" s="16">
        <f t="shared" si="20"/>
        <v>5.0838265539000034</v>
      </c>
      <c r="L204" s="16">
        <f t="shared" si="20"/>
        <v>3.5497115477460071</v>
      </c>
      <c r="M204" s="16">
        <f t="shared" si="20"/>
        <v>3.7814275859163331</v>
      </c>
      <c r="N204" s="16">
        <f t="shared" si="20"/>
        <v>4.0281902828465519</v>
      </c>
      <c r="O204" s="16">
        <f t="shared" si="20"/>
        <v>4.2909707621760305</v>
      </c>
    </row>
    <row r="205" spans="2:15" ht="12.95" customHeight="1" x14ac:dyDescent="0.2">
      <c r="B205" s="1" t="str">
        <f>+"Increase / (Decrease) in "&amp;B153</f>
        <v>Increase / (Decrease) in Deferred Revenue</v>
      </c>
      <c r="H205" s="38"/>
      <c r="I205" s="38"/>
      <c r="J205" s="38"/>
      <c r="K205" s="16">
        <f t="shared" si="20"/>
        <v>11.334509999999995</v>
      </c>
      <c r="L205" s="16">
        <f t="shared" si="20"/>
        <v>3.8588854500000025</v>
      </c>
      <c r="M205" s="16">
        <f t="shared" si="20"/>
        <v>4.129007431500014</v>
      </c>
      <c r="N205" s="16">
        <f t="shared" si="20"/>
        <v>4.4180379517050028</v>
      </c>
      <c r="O205" s="16">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53"/>
      <c r="I206" s="153"/>
      <c r="J206" s="153"/>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200"/>
      <c r="I207" s="200"/>
      <c r="J207" s="200"/>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7" t="s">
        <v>69</v>
      </c>
      <c r="C209" s="208"/>
      <c r="D209" s="208"/>
      <c r="E209" s="208"/>
      <c r="F209" s="208"/>
      <c r="G209" s="208"/>
      <c r="H209" s="209"/>
      <c r="I209" s="209"/>
      <c r="J209" s="209"/>
      <c r="K209" s="22">
        <f>+SUM(K193:K196,K207)</f>
        <v>175.29341420596378</v>
      </c>
      <c r="L209" s="22">
        <f>+SUM(L193:L196,L207)</f>
        <v>182.47861395751107</v>
      </c>
      <c r="M209" s="22">
        <f>+SUM(M193:M196,M207)</f>
        <v>199.52617387516088</v>
      </c>
      <c r="N209" s="22">
        <f>+SUM(N193:N196,N207)</f>
        <v>218.08333412714893</v>
      </c>
      <c r="O209" s="23">
        <f>+SUM(O193:O196,O207)</f>
        <v>238.27790571668606</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200"/>
      <c r="I212" s="200"/>
      <c r="J212" s="200"/>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72"/>
      <c r="I213" s="172"/>
      <c r="J213" s="172"/>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c r="L216" s="16"/>
      <c r="M216" s="16"/>
      <c r="N216" s="16"/>
      <c r="O216" s="16"/>
    </row>
    <row r="217" spans="1:15" ht="12.95" customHeight="1" x14ac:dyDescent="0.2">
      <c r="B217" s="3" t="s">
        <v>83</v>
      </c>
      <c r="C217" s="3"/>
      <c r="D217" s="3"/>
      <c r="E217" s="3"/>
      <c r="F217" s="3"/>
      <c r="G217" s="3"/>
      <c r="H217" s="27"/>
      <c r="I217" s="27"/>
      <c r="J217" s="27"/>
      <c r="K217" s="66"/>
      <c r="L217" s="66"/>
      <c r="M217" s="66"/>
      <c r="N217" s="66"/>
      <c r="O217" s="66"/>
    </row>
    <row r="218" spans="1:15" s="76" customFormat="1" ht="12.95" customHeight="1" x14ac:dyDescent="0.2">
      <c r="B218" s="69" t="s">
        <v>84</v>
      </c>
      <c r="C218" s="69"/>
      <c r="D218" s="69"/>
      <c r="E218" s="69"/>
      <c r="F218" s="69"/>
      <c r="G218" s="69"/>
      <c r="H218" s="210"/>
      <c r="I218" s="210"/>
      <c r="J218" s="210"/>
      <c r="K218" s="71">
        <f>+SUM(K216:K217)</f>
        <v>0</v>
      </c>
      <c r="L218" s="71">
        <f>+SUM(L216:L217)</f>
        <v>0</v>
      </c>
      <c r="M218" s="71">
        <f>+SUM(M216:M217)</f>
        <v>0</v>
      </c>
      <c r="N218" s="71">
        <f>+SUM(N216:N217)</f>
        <v>0</v>
      </c>
      <c r="O218" s="71">
        <f>+SUM(O216:O217)</f>
        <v>0</v>
      </c>
    </row>
    <row r="220" spans="1:15" ht="12.95" customHeight="1" x14ac:dyDescent="0.2">
      <c r="B220" s="207" t="s">
        <v>87</v>
      </c>
      <c r="C220" s="208"/>
      <c r="D220" s="208"/>
      <c r="E220" s="208"/>
      <c r="F220" s="208"/>
      <c r="G220" s="208"/>
      <c r="H220" s="209"/>
      <c r="I220" s="209"/>
      <c r="J220" s="209"/>
      <c r="K220" s="22">
        <f>+K209+K213+K218</f>
        <v>129.53805815596377</v>
      </c>
      <c r="L220" s="22">
        <f>+L209+L213+L218</f>
        <v>132.93052477951107</v>
      </c>
      <c r="M220" s="22">
        <f>+M209+M213+M218</f>
        <v>145.87857017588587</v>
      </c>
      <c r="N220" s="22">
        <f>+N209+N213+N218</f>
        <v>160.00506951059262</v>
      </c>
      <c r="O220" s="2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206"/>
      <c r="M224" s="206"/>
      <c r="N224" s="206"/>
      <c r="O224" s="206"/>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11"/>
      <c r="L227" s="211"/>
      <c r="M227" s="211"/>
      <c r="N227" s="211"/>
      <c r="O227" s="211"/>
      <c r="Q227" s="174" t="s">
        <v>259</v>
      </c>
    </row>
    <row r="228" spans="2:17" s="76" customFormat="1" ht="12.95" customHeight="1" x14ac:dyDescent="0.2">
      <c r="B228" s="69" t="s">
        <v>74</v>
      </c>
      <c r="C228" s="69"/>
      <c r="D228" s="69"/>
      <c r="E228" s="69"/>
      <c r="F228" s="69"/>
      <c r="G228" s="69"/>
      <c r="H228" s="212"/>
      <c r="I228" s="212"/>
      <c r="J228" s="212"/>
      <c r="K228" s="71">
        <f>+SUM(K227)</f>
        <v>0</v>
      </c>
      <c r="L228" s="71">
        <f>+SUM(L227)</f>
        <v>0</v>
      </c>
      <c r="M228" s="71">
        <f>+SUM(M227)</f>
        <v>0</v>
      </c>
      <c r="N228" s="71">
        <f>+SUM(N227)</f>
        <v>0</v>
      </c>
      <c r="O228" s="71">
        <f>+SUM(O227)</f>
        <v>0</v>
      </c>
    </row>
    <row r="230" spans="2:17" ht="12.95" customHeight="1" x14ac:dyDescent="0.2">
      <c r="B230" s="24" t="s">
        <v>196</v>
      </c>
    </row>
    <row r="231" spans="2:17" ht="12.95" customHeight="1" x14ac:dyDescent="0.2">
      <c r="B231" s="1" t="s">
        <v>122</v>
      </c>
      <c r="K231" s="16">
        <f>+K209+K213</f>
        <v>129.53805815596377</v>
      </c>
      <c r="L231" s="16">
        <f>+L209+L213</f>
        <v>132.93052477951107</v>
      </c>
      <c r="M231" s="16">
        <f>+M209+M213</f>
        <v>145.87857017588587</v>
      </c>
      <c r="N231" s="16">
        <f>+N209+N213</f>
        <v>160.00506951059262</v>
      </c>
      <c r="O231" s="16">
        <f>+O209+O213</f>
        <v>175.4115609125555</v>
      </c>
    </row>
    <row r="232" spans="2:17" ht="12.95" customHeight="1" x14ac:dyDescent="0.2">
      <c r="B232" s="1" t="s">
        <v>123</v>
      </c>
      <c r="K232" s="16">
        <f>+K228</f>
        <v>0</v>
      </c>
      <c r="L232" s="16">
        <f>+L228</f>
        <v>0</v>
      </c>
      <c r="M232" s="16">
        <f>+M228</f>
        <v>0</v>
      </c>
      <c r="N232" s="16">
        <f>+N228</f>
        <v>0</v>
      </c>
      <c r="O232" s="16">
        <f>+O228</f>
        <v>0</v>
      </c>
    </row>
    <row r="233" spans="2:17" s="76" customFormat="1" ht="12.95" customHeight="1" x14ac:dyDescent="0.2">
      <c r="B233" s="20" t="s">
        <v>75</v>
      </c>
      <c r="C233" s="21"/>
      <c r="D233" s="21"/>
      <c r="E233" s="21"/>
      <c r="F233" s="21"/>
      <c r="G233" s="21"/>
      <c r="H233" s="21"/>
      <c r="I233" s="21"/>
      <c r="J233" s="21"/>
      <c r="K233" s="22">
        <f>SUM(K231:K232)</f>
        <v>129.53805815596377</v>
      </c>
      <c r="L233" s="22">
        <f>SUM(L231:L232)</f>
        <v>132.93052477951107</v>
      </c>
      <c r="M233" s="22">
        <f>SUM(M231:M232)</f>
        <v>145.87857017588587</v>
      </c>
      <c r="N233" s="22">
        <f>SUM(N231:N232)</f>
        <v>160.00506951059262</v>
      </c>
      <c r="O233" s="23">
        <f>SUM(O231:O232)</f>
        <v>175.4115609125555</v>
      </c>
    </row>
    <row r="235" spans="2:17" ht="12.95" customHeight="1" x14ac:dyDescent="0.2">
      <c r="B235" s="1" t="s">
        <v>76</v>
      </c>
      <c r="H235" s="38"/>
      <c r="I235" s="38"/>
      <c r="J235" s="38"/>
      <c r="K235" s="16">
        <f>+J139</f>
        <v>0</v>
      </c>
      <c r="L235" s="16">
        <f>+K139</f>
        <v>0</v>
      </c>
      <c r="M235" s="16">
        <f>+L139</f>
        <v>0</v>
      </c>
      <c r="N235" s="16">
        <f>+M139</f>
        <v>0</v>
      </c>
      <c r="O235" s="16">
        <f>+N139</f>
        <v>0</v>
      </c>
    </row>
    <row r="236" spans="2:17" ht="12.95" customHeight="1" x14ac:dyDescent="0.2">
      <c r="B236" s="4" t="s">
        <v>77</v>
      </c>
      <c r="C236" s="4"/>
      <c r="D236" s="4"/>
      <c r="E236" s="4"/>
      <c r="F236" s="4"/>
      <c r="G236" s="4"/>
      <c r="H236" s="150"/>
      <c r="I236" s="150"/>
      <c r="J236" s="150"/>
      <c r="K236" s="35">
        <f>-$E$6</f>
        <v>-5</v>
      </c>
      <c r="L236" s="35">
        <f>-$E$6</f>
        <v>-5</v>
      </c>
      <c r="M236" s="35">
        <f>-$E$6</f>
        <v>-5</v>
      </c>
      <c r="N236" s="35">
        <f>-$E$6</f>
        <v>-5</v>
      </c>
      <c r="O236" s="35">
        <f>-$E$6</f>
        <v>-5</v>
      </c>
    </row>
    <row r="237" spans="2:17" ht="12.95" customHeight="1" x14ac:dyDescent="0.2">
      <c r="B237" s="4" t="s">
        <v>78</v>
      </c>
      <c r="C237" s="4"/>
      <c r="D237" s="4"/>
      <c r="E237" s="4"/>
      <c r="F237" s="4"/>
      <c r="G237" s="4"/>
      <c r="H237" s="150"/>
      <c r="I237" s="150"/>
      <c r="J237" s="150"/>
      <c r="K237" s="35">
        <f>+K233</f>
        <v>129.53805815596377</v>
      </c>
      <c r="L237" s="35">
        <f>+L233</f>
        <v>132.93052477951107</v>
      </c>
      <c r="M237" s="35">
        <f>+M233</f>
        <v>145.87857017588587</v>
      </c>
      <c r="N237" s="35">
        <f>+N233</f>
        <v>160.00506951059262</v>
      </c>
      <c r="O237" s="35">
        <f>+O233</f>
        <v>175.4115609125555</v>
      </c>
    </row>
    <row r="238" spans="2:17" s="76" customFormat="1" ht="12.95" customHeight="1" x14ac:dyDescent="0.2">
      <c r="B238" s="20" t="s">
        <v>86</v>
      </c>
      <c r="C238" s="21"/>
      <c r="D238" s="21"/>
      <c r="E238" s="21"/>
      <c r="F238" s="21"/>
      <c r="G238" s="21"/>
      <c r="H238" s="172"/>
      <c r="I238" s="172"/>
      <c r="J238" s="172"/>
      <c r="K238" s="22">
        <f>SUM(K235:K237)</f>
        <v>124.53805815596377</v>
      </c>
      <c r="L238" s="22">
        <f>SUM(L235:L237)</f>
        <v>127.93052477951107</v>
      </c>
      <c r="M238" s="22">
        <f>SUM(M235:M237)</f>
        <v>140.87857017588587</v>
      </c>
      <c r="N238" s="22">
        <f>SUM(N235:N237)</f>
        <v>155.00506951059262</v>
      </c>
      <c r="O238" s="23">
        <f>SUM(O235:O237)</f>
        <v>170.4115609125555</v>
      </c>
    </row>
    <row r="240" spans="2:17" s="76" customFormat="1" ht="12.95" customHeight="1" x14ac:dyDescent="0.2">
      <c r="B240" s="24" t="s">
        <v>79</v>
      </c>
    </row>
    <row r="241" spans="1:17" ht="12.95" customHeight="1" x14ac:dyDescent="0.2">
      <c r="B241" s="1" t="str">
        <f>+B159</f>
        <v>Revolving Credit Facility</v>
      </c>
      <c r="K241" s="16">
        <f>+K255</f>
        <v>0</v>
      </c>
      <c r="L241" s="16">
        <f>+L255</f>
        <v>0</v>
      </c>
      <c r="M241" s="16">
        <f>+M255</f>
        <v>0</v>
      </c>
      <c r="N241" s="16">
        <f>+N255</f>
        <v>0</v>
      </c>
      <c r="O241" s="16">
        <f>+O255</f>
        <v>0</v>
      </c>
    </row>
    <row r="242" spans="1:17" ht="12.95" customHeight="1" x14ac:dyDescent="0.2">
      <c r="B242" s="1" t="str">
        <f>+B160</f>
        <v>First Lien Term Loan</v>
      </c>
      <c r="K242" s="16"/>
      <c r="L242" s="16"/>
      <c r="M242" s="16"/>
      <c r="N242" s="16"/>
      <c r="O242" s="16"/>
      <c r="Q242" s="174" t="s">
        <v>260</v>
      </c>
    </row>
    <row r="243" spans="1:17" ht="12.95" customHeight="1" x14ac:dyDescent="0.2">
      <c r="B243" s="1" t="str">
        <f>+B161</f>
        <v>Second Lien Term Loan</v>
      </c>
      <c r="K243" s="16"/>
      <c r="L243" s="16"/>
      <c r="M243" s="16"/>
      <c r="N243" s="16"/>
      <c r="O243" s="16"/>
      <c r="Q243" s="4"/>
    </row>
    <row r="244" spans="1:17" ht="12.95" customHeight="1" x14ac:dyDescent="0.2">
      <c r="B244" s="3" t="str">
        <f>+B162</f>
        <v>Notes</v>
      </c>
      <c r="C244" s="3"/>
      <c r="D244" s="3"/>
      <c r="E244" s="3"/>
      <c r="F244" s="3"/>
      <c r="G244" s="3"/>
      <c r="H244" s="3"/>
      <c r="I244" s="3"/>
      <c r="J244" s="3"/>
      <c r="K244" s="66"/>
      <c r="L244" s="66"/>
      <c r="M244" s="66"/>
      <c r="N244" s="66"/>
      <c r="O244" s="66"/>
      <c r="Q244" s="4"/>
    </row>
    <row r="245" spans="1:17" s="76" customFormat="1" ht="12.95" customHeight="1" x14ac:dyDescent="0.2">
      <c r="B245" s="69" t="s">
        <v>80</v>
      </c>
      <c r="C245" s="69"/>
      <c r="D245" s="69"/>
      <c r="E245" s="69"/>
      <c r="F245" s="69"/>
      <c r="G245" s="69"/>
      <c r="H245" s="69"/>
      <c r="I245" s="69"/>
      <c r="J245" s="69"/>
      <c r="K245" s="71">
        <f>SUM(K241:K244)</f>
        <v>0</v>
      </c>
      <c r="L245" s="71">
        <f>SUM(L241:L244)</f>
        <v>0</v>
      </c>
      <c r="M245" s="71">
        <f>SUM(M241:M244)</f>
        <v>0</v>
      </c>
      <c r="N245" s="71">
        <f>SUM(N241:N244)</f>
        <v>0</v>
      </c>
      <c r="O245" s="71">
        <f>SUM(O241:O244)</f>
        <v>0</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206"/>
      <c r="M249" s="206"/>
      <c r="N249" s="206"/>
      <c r="O249" s="206"/>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13">
        <v>0.02</v>
      </c>
      <c r="L251" s="214">
        <f>+K251</f>
        <v>0.02</v>
      </c>
      <c r="M251" s="214">
        <f>+L251</f>
        <v>0.02</v>
      </c>
      <c r="N251" s="214">
        <f>+M251</f>
        <v>0.02</v>
      </c>
      <c r="O251" s="214">
        <f>+N251</f>
        <v>0.02</v>
      </c>
    </row>
    <row r="252" spans="1:17" s="4" customFormat="1" ht="12.95" customHeight="1" x14ac:dyDescent="0.2">
      <c r="K252" s="118"/>
      <c r="L252" s="118"/>
      <c r="M252" s="118"/>
      <c r="N252" s="118"/>
      <c r="O252" s="118"/>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15">
        <f>+J159</f>
        <v>0</v>
      </c>
      <c r="L254" s="54">
        <f>+K256</f>
        <v>0</v>
      </c>
      <c r="M254" s="54">
        <f>+L256</f>
        <v>0</v>
      </c>
      <c r="N254" s="54">
        <f>+M256</f>
        <v>0</v>
      </c>
      <c r="O254" s="54">
        <f>+N256</f>
        <v>0</v>
      </c>
    </row>
    <row r="255" spans="1:17" ht="12.95" customHeight="1" x14ac:dyDescent="0.2">
      <c r="B255" s="3" t="s">
        <v>94</v>
      </c>
      <c r="C255" s="3"/>
      <c r="D255" s="3"/>
      <c r="E255" s="3"/>
      <c r="F255" s="3"/>
      <c r="G255" s="3"/>
      <c r="H255" s="3"/>
      <c r="I255" s="3"/>
      <c r="J255" s="3"/>
      <c r="K255" s="66">
        <f>-MIN(K238,K254)</f>
        <v>0</v>
      </c>
      <c r="L255" s="66">
        <f>-MIN(L238,L254)</f>
        <v>0</v>
      </c>
      <c r="M255" s="66">
        <f>-MIN(M238,M254)</f>
        <v>0</v>
      </c>
      <c r="N255" s="66">
        <f>-MIN(N238,N254)</f>
        <v>0</v>
      </c>
      <c r="O255" s="66">
        <f>-MIN(O238,O254)</f>
        <v>0</v>
      </c>
    </row>
    <row r="256" spans="1:17" ht="12.95" customHeight="1" x14ac:dyDescent="0.2">
      <c r="B256" s="69" t="s">
        <v>192</v>
      </c>
      <c r="C256" s="69"/>
      <c r="D256" s="69"/>
      <c r="E256" s="69"/>
      <c r="F256" s="69"/>
      <c r="G256" s="69"/>
      <c r="H256" s="69"/>
      <c r="I256" s="69"/>
      <c r="J256" s="69"/>
      <c r="K256" s="71">
        <f>SUM(K254:K255)</f>
        <v>0</v>
      </c>
      <c r="L256" s="71">
        <f>SUM(L254:L255)</f>
        <v>0</v>
      </c>
      <c r="M256" s="71">
        <f>SUM(M254:M255)</f>
        <v>0</v>
      </c>
      <c r="N256" s="71">
        <f>SUM(N254:N255)</f>
        <v>0</v>
      </c>
      <c r="O256" s="71">
        <f>SUM(O254:O255)</f>
        <v>0</v>
      </c>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16">
        <f>+M26</f>
        <v>100</v>
      </c>
      <c r="K258" s="35">
        <f>+AVERAGE(K254,K256)</f>
        <v>0</v>
      </c>
      <c r="L258" s="35">
        <f>+AVERAGE(L254,L256)</f>
        <v>0</v>
      </c>
      <c r="M258" s="35">
        <f>+AVERAGE(M254,M256)</f>
        <v>0</v>
      </c>
      <c r="N258" s="35">
        <f>+AVERAGE(N254,N256)</f>
        <v>0</v>
      </c>
      <c r="O258" s="35">
        <f>+AVERAGE(O254,O256)</f>
        <v>0</v>
      </c>
    </row>
    <row r="259" spans="2:17" s="4" customFormat="1" ht="12.95" customHeight="1" x14ac:dyDescent="0.2">
      <c r="B259" s="4" t="s">
        <v>149</v>
      </c>
      <c r="G259" s="4" t="s">
        <v>96</v>
      </c>
      <c r="I259" s="217">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7" s="4" customFormat="1" ht="12.95" customHeight="1" x14ac:dyDescent="0.2">
      <c r="B260" s="4" t="s">
        <v>21</v>
      </c>
      <c r="K260" s="54"/>
      <c r="L260" s="54"/>
      <c r="M260" s="54"/>
      <c r="N260" s="54"/>
      <c r="O260" s="54"/>
    </row>
    <row r="261" spans="2:17" s="4" customFormat="1" ht="12.95" customHeight="1" x14ac:dyDescent="0.2">
      <c r="B261" s="4" t="s">
        <v>158</v>
      </c>
      <c r="G261" s="4" t="s">
        <v>147</v>
      </c>
      <c r="I261" s="218">
        <v>25</v>
      </c>
      <c r="K261" s="15"/>
      <c r="L261" s="15"/>
      <c r="M261" s="15"/>
      <c r="N261" s="15"/>
      <c r="O261" s="15"/>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f>+IF(K256&gt;$I$258,1,0)</f>
        <v>0</v>
      </c>
      <c r="L264" s="14">
        <f>+IF(L256&gt;$I$258,1,0)</f>
        <v>0</v>
      </c>
      <c r="M264" s="14">
        <f>+IF(M256&gt;$I$258,1,0)</f>
        <v>0</v>
      </c>
      <c r="N264" s="14">
        <f>+IF(N256&gt;$I$258,1,0)</f>
        <v>0</v>
      </c>
      <c r="O264" s="14">
        <f>+IF(O256&gt;$I$258,1,0)</f>
        <v>0</v>
      </c>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15"/>
      <c r="L267" s="54"/>
      <c r="M267" s="54"/>
      <c r="N267" s="54"/>
      <c r="O267" s="54"/>
      <c r="Q267" s="174" t="s">
        <v>329</v>
      </c>
    </row>
    <row r="268" spans="2:17" s="4" customFormat="1" ht="12.95" customHeight="1" x14ac:dyDescent="0.2">
      <c r="B268" s="33" t="s">
        <v>92</v>
      </c>
      <c r="G268" s="4" t="s">
        <v>97</v>
      </c>
      <c r="I268" s="219">
        <v>0.02</v>
      </c>
      <c r="K268" s="35"/>
      <c r="L268" s="35"/>
      <c r="M268" s="35"/>
      <c r="N268" s="35"/>
      <c r="O268" s="35"/>
      <c r="Q268" s="174" t="s">
        <v>256</v>
      </c>
    </row>
    <row r="269" spans="2:17" ht="12.95" customHeight="1" x14ac:dyDescent="0.2">
      <c r="B269" s="3" t="s">
        <v>89</v>
      </c>
      <c r="C269" s="3"/>
      <c r="D269" s="3"/>
      <c r="E269" s="3"/>
      <c r="F269" s="3"/>
      <c r="G269" s="3"/>
      <c r="H269" s="3"/>
      <c r="I269" s="3"/>
      <c r="J269" s="3"/>
      <c r="K269" s="66"/>
      <c r="L269" s="66"/>
      <c r="M269" s="66"/>
      <c r="N269" s="66"/>
      <c r="O269" s="66"/>
      <c r="Q269" s="174" t="s">
        <v>344</v>
      </c>
    </row>
    <row r="270" spans="2:17" ht="12.95" customHeight="1" x14ac:dyDescent="0.2">
      <c r="B270" s="69" t="s">
        <v>192</v>
      </c>
      <c r="C270" s="69"/>
      <c r="D270" s="69"/>
      <c r="E270" s="69"/>
      <c r="F270" s="69"/>
      <c r="G270" s="69"/>
      <c r="H270" s="4"/>
      <c r="I270" s="69"/>
      <c r="J270" s="69"/>
      <c r="K270" s="71"/>
      <c r="L270" s="71"/>
      <c r="M270" s="71"/>
      <c r="N270" s="71"/>
      <c r="O270" s="71"/>
      <c r="Q270" s="174" t="s">
        <v>257</v>
      </c>
    </row>
    <row r="271" spans="2:17" ht="12.95" customHeight="1" x14ac:dyDescent="0.2">
      <c r="B271" s="69"/>
      <c r="C271" s="69"/>
      <c r="D271" s="69"/>
      <c r="E271" s="69"/>
      <c r="F271" s="69"/>
      <c r="G271" s="69"/>
      <c r="H271" s="4"/>
      <c r="I271" s="69"/>
      <c r="J271" s="69"/>
      <c r="K271" s="69"/>
      <c r="L271" s="69"/>
      <c r="M271" s="69"/>
      <c r="N271" s="69"/>
      <c r="O271" s="69"/>
    </row>
    <row r="272" spans="2:17" ht="12.95" customHeight="1" x14ac:dyDescent="0.2">
      <c r="B272" s="1" t="s">
        <v>91</v>
      </c>
      <c r="K272" s="16"/>
      <c r="L272" s="16"/>
      <c r="M272" s="16"/>
      <c r="N272" s="16"/>
      <c r="O272" s="16"/>
      <c r="Q272" s="174" t="s">
        <v>258</v>
      </c>
    </row>
    <row r="273" spans="2:17" ht="12.95" customHeight="1" x14ac:dyDescent="0.2">
      <c r="B273" s="1" t="s">
        <v>149</v>
      </c>
      <c r="G273" s="4" t="s">
        <v>96</v>
      </c>
      <c r="I273" s="218">
        <v>350</v>
      </c>
      <c r="K273" s="55"/>
      <c r="L273" s="55"/>
      <c r="M273" s="55"/>
      <c r="N273" s="55"/>
      <c r="O273" s="55"/>
      <c r="Q273" s="174" t="s">
        <v>309</v>
      </c>
    </row>
    <row r="274" spans="2:17" s="4" customFormat="1" ht="12.95" customHeight="1" x14ac:dyDescent="0.2">
      <c r="B274" s="4" t="s">
        <v>21</v>
      </c>
      <c r="K274" s="54"/>
      <c r="L274" s="54"/>
      <c r="M274" s="54"/>
      <c r="N274" s="54"/>
      <c r="O274" s="54"/>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20"/>
      <c r="L278" s="54"/>
      <c r="M278" s="54"/>
      <c r="N278" s="54"/>
      <c r="O278" s="54"/>
    </row>
    <row r="279" spans="2:17" s="4" customFormat="1" ht="12.95" customHeight="1" x14ac:dyDescent="0.2">
      <c r="B279" s="4" t="s">
        <v>109</v>
      </c>
      <c r="K279" s="222"/>
      <c r="L279" s="62"/>
      <c r="M279" s="62"/>
      <c r="N279" s="62"/>
      <c r="O279" s="62"/>
    </row>
    <row r="280" spans="2:17" s="4" customFormat="1" ht="12.95" customHeight="1" x14ac:dyDescent="0.2">
      <c r="B280" s="3" t="s">
        <v>89</v>
      </c>
      <c r="C280" s="3"/>
      <c r="D280" s="3"/>
      <c r="E280" s="3"/>
      <c r="F280" s="3"/>
      <c r="G280" s="3"/>
      <c r="H280" s="3"/>
      <c r="I280" s="3"/>
      <c r="J280" s="3"/>
      <c r="K280" s="66"/>
      <c r="L280" s="66"/>
      <c r="M280" s="66"/>
      <c r="N280" s="66"/>
      <c r="O280" s="66"/>
    </row>
    <row r="281" spans="2:17" s="4" customFormat="1" ht="12.95" customHeight="1" x14ac:dyDescent="0.2">
      <c r="B281" s="69" t="s">
        <v>192</v>
      </c>
      <c r="C281" s="69"/>
      <c r="D281" s="69"/>
      <c r="E281" s="69"/>
      <c r="F281" s="69"/>
      <c r="G281" s="69"/>
      <c r="I281" s="69"/>
      <c r="J281" s="69"/>
      <c r="K281" s="71"/>
      <c r="L281" s="71"/>
      <c r="M281" s="71"/>
      <c r="N281" s="71"/>
      <c r="O281" s="71"/>
    </row>
    <row r="282" spans="2:17" ht="12.95" customHeight="1" x14ac:dyDescent="0.2">
      <c r="B282" s="69"/>
      <c r="C282" s="69"/>
      <c r="D282" s="69"/>
      <c r="E282" s="69"/>
      <c r="F282" s="69"/>
      <c r="G282" s="69"/>
      <c r="H282" s="4"/>
      <c r="I282" s="69"/>
      <c r="J282" s="69"/>
      <c r="K282" s="154"/>
      <c r="L282" s="154"/>
      <c r="M282" s="154"/>
      <c r="N282" s="154"/>
      <c r="O282" s="154"/>
    </row>
    <row r="283" spans="2:17" ht="12.95" customHeight="1" x14ac:dyDescent="0.2">
      <c r="B283" s="1" t="s">
        <v>91</v>
      </c>
      <c r="G283" s="1" t="s">
        <v>110</v>
      </c>
      <c r="I283" s="223">
        <v>1</v>
      </c>
      <c r="K283" s="16"/>
      <c r="L283" s="16"/>
      <c r="M283" s="16"/>
      <c r="N283" s="16"/>
      <c r="O283" s="16"/>
      <c r="Q283" s="4"/>
    </row>
    <row r="284" spans="2:17" ht="12.95" customHeight="1" x14ac:dyDescent="0.2">
      <c r="B284" s="1" t="s">
        <v>149</v>
      </c>
      <c r="G284" s="4" t="s">
        <v>96</v>
      </c>
      <c r="I284" s="217">
        <v>600</v>
      </c>
      <c r="K284" s="55"/>
      <c r="L284" s="55"/>
      <c r="M284" s="55"/>
      <c r="N284" s="55"/>
      <c r="O284" s="55"/>
      <c r="Q284" s="4"/>
    </row>
    <row r="285" spans="2:17" s="4" customFormat="1" ht="12.95" customHeight="1" x14ac:dyDescent="0.2">
      <c r="B285" s="4" t="s">
        <v>21</v>
      </c>
      <c r="K285" s="54"/>
      <c r="L285" s="54"/>
      <c r="M285" s="54"/>
      <c r="N285" s="54"/>
      <c r="O285" s="54"/>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15"/>
      <c r="L289" s="54"/>
      <c r="M289" s="54"/>
      <c r="N289" s="54"/>
      <c r="O289" s="54"/>
    </row>
    <row r="290" spans="1:17" ht="12.95" customHeight="1" x14ac:dyDescent="0.2">
      <c r="B290" s="3" t="s">
        <v>98</v>
      </c>
      <c r="C290" s="3"/>
      <c r="D290" s="3"/>
      <c r="E290" s="3"/>
      <c r="F290" s="3"/>
      <c r="G290" s="3" t="s">
        <v>99</v>
      </c>
      <c r="H290" s="133"/>
      <c r="I290" s="224">
        <v>2026</v>
      </c>
      <c r="J290" s="3"/>
      <c r="K290" s="66"/>
      <c r="L290" s="66"/>
      <c r="M290" s="66"/>
      <c r="N290" s="66"/>
      <c r="O290" s="66"/>
      <c r="Q290" s="4"/>
    </row>
    <row r="291" spans="1:17" ht="12.95" customHeight="1" x14ac:dyDescent="0.2">
      <c r="B291" s="69" t="s">
        <v>192</v>
      </c>
      <c r="C291" s="69"/>
      <c r="D291" s="69"/>
      <c r="E291" s="69"/>
      <c r="F291" s="69"/>
      <c r="G291" s="69"/>
      <c r="H291" s="4"/>
      <c r="I291" s="69"/>
      <c r="J291" s="69"/>
      <c r="K291" s="71"/>
      <c r="L291" s="71"/>
      <c r="M291" s="71"/>
      <c r="N291" s="71"/>
      <c r="O291" s="71"/>
      <c r="Q291" s="4"/>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4"/>
    </row>
    <row r="294" spans="1:17" s="4" customFormat="1" ht="12.95" customHeight="1" x14ac:dyDescent="0.2">
      <c r="B294" s="4" t="s">
        <v>21</v>
      </c>
      <c r="G294" s="4" t="s">
        <v>111</v>
      </c>
      <c r="I294" s="225">
        <v>0.1</v>
      </c>
      <c r="K294" s="54"/>
      <c r="L294" s="54"/>
      <c r="M294" s="54"/>
      <c r="N294" s="54"/>
      <c r="O294" s="54"/>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206"/>
      <c r="M299" s="206"/>
      <c r="N299" s="206"/>
      <c r="O299" s="206"/>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54"/>
      <c r="L301" s="54"/>
      <c r="M301" s="54"/>
      <c r="N301" s="54"/>
      <c r="O301" s="54"/>
    </row>
    <row r="302" spans="1:17" s="4" customFormat="1" ht="12.95" customHeight="1" x14ac:dyDescent="0.2">
      <c r="B302" s="3" t="s">
        <v>106</v>
      </c>
      <c r="C302" s="3"/>
      <c r="D302" s="3"/>
      <c r="E302" s="3"/>
      <c r="F302" s="3"/>
      <c r="G302" s="3"/>
      <c r="H302" s="3"/>
      <c r="I302" s="3"/>
      <c r="J302" s="3"/>
      <c r="K302" s="66"/>
      <c r="L302" s="66"/>
      <c r="M302" s="66"/>
      <c r="N302" s="66"/>
      <c r="O302" s="66"/>
    </row>
    <row r="303" spans="1:17" s="69" customFormat="1" ht="12.95" customHeight="1" x14ac:dyDescent="0.2">
      <c r="B303" s="69" t="s">
        <v>192</v>
      </c>
      <c r="K303" s="71"/>
      <c r="L303" s="71"/>
      <c r="M303" s="71"/>
      <c r="N303" s="71"/>
      <c r="O303" s="71"/>
      <c r="Q303" s="4"/>
    </row>
    <row r="304" spans="1:17" s="4" customFormat="1" ht="12.95" customHeight="1" x14ac:dyDescent="0.2"/>
    <row r="305" spans="1:17" ht="12.95" customHeight="1" x14ac:dyDescent="0.2">
      <c r="B305" s="4" t="s">
        <v>91</v>
      </c>
      <c r="C305" s="4"/>
      <c r="D305" s="4"/>
      <c r="E305" s="4"/>
      <c r="F305" s="4"/>
      <c r="G305" s="4"/>
      <c r="H305" s="4"/>
      <c r="I305" s="4"/>
      <c r="J305" s="4"/>
      <c r="K305" s="35"/>
      <c r="L305" s="35"/>
      <c r="M305" s="35"/>
      <c r="N305" s="35"/>
      <c r="O305" s="35"/>
      <c r="Q305" s="4"/>
    </row>
    <row r="306" spans="1:17" ht="12.95" customHeight="1" x14ac:dyDescent="0.2">
      <c r="B306" s="1" t="s">
        <v>107</v>
      </c>
      <c r="G306" s="85" t="s">
        <v>193</v>
      </c>
      <c r="H306" s="4"/>
      <c r="I306" s="225">
        <v>0.01</v>
      </c>
      <c r="K306" s="15"/>
      <c r="L306" s="15"/>
      <c r="M306" s="15"/>
      <c r="N306" s="15"/>
      <c r="O306" s="15"/>
      <c r="Q306" s="4"/>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4"/>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26" t="s">
        <v>112</v>
      </c>
      <c r="C315" s="226"/>
      <c r="D315" s="226"/>
      <c r="E315" s="226"/>
      <c r="F315" s="226"/>
      <c r="G315" s="226"/>
      <c r="H315" s="226"/>
      <c r="I315" s="226"/>
      <c r="J315" s="226"/>
      <c r="K315" s="37"/>
      <c r="L315" s="37"/>
      <c r="M315" s="37"/>
      <c r="N315" s="37"/>
      <c r="O315" s="37"/>
      <c r="Q315" s="4"/>
    </row>
    <row r="316" spans="1:17" ht="12.95" customHeight="1" x14ac:dyDescent="0.2">
      <c r="B316" s="3" t="s">
        <v>113</v>
      </c>
      <c r="C316" s="3"/>
      <c r="D316" s="3"/>
      <c r="E316" s="3"/>
      <c r="F316" s="3"/>
      <c r="G316" s="3"/>
      <c r="H316" s="3"/>
      <c r="I316" s="3"/>
      <c r="J316" s="3"/>
      <c r="K316" s="62"/>
      <c r="L316" s="62"/>
      <c r="M316" s="62"/>
      <c r="N316" s="62"/>
      <c r="O316" s="62"/>
      <c r="Q316" s="4"/>
    </row>
    <row r="317" spans="1:17" s="76" customFormat="1" ht="12.95" customHeight="1" x14ac:dyDescent="0.2">
      <c r="B317" s="69" t="s">
        <v>108</v>
      </c>
      <c r="C317" s="69"/>
      <c r="D317" s="69"/>
      <c r="E317" s="69"/>
      <c r="F317" s="69"/>
      <c r="G317" s="69"/>
      <c r="H317" s="69"/>
      <c r="I317" s="69"/>
      <c r="J317" s="69"/>
      <c r="K317" s="96"/>
      <c r="L317" s="96"/>
      <c r="M317" s="96"/>
      <c r="N317" s="96"/>
      <c r="O317" s="96"/>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K322" s="13">
        <f>+K138</f>
        <v>2020</v>
      </c>
      <c r="L322" s="13">
        <f>+K322+1</f>
        <v>2021</v>
      </c>
      <c r="M322" s="13">
        <f>+L322+1</f>
        <v>2022</v>
      </c>
      <c r="N322" s="13">
        <f>+M322+1</f>
        <v>2023</v>
      </c>
      <c r="O322" s="13">
        <f>+N322+1</f>
        <v>2024</v>
      </c>
    </row>
    <row r="323" spans="2:18" ht="12.95" customHeight="1" x14ac:dyDescent="0.2">
      <c r="B323" s="1" t="s">
        <v>35</v>
      </c>
      <c r="K323" s="54"/>
      <c r="L323" s="54"/>
      <c r="M323" s="54"/>
      <c r="N323" s="54"/>
      <c r="O323" s="54"/>
    </row>
    <row r="324" spans="2:18" ht="12.95" customHeight="1" x14ac:dyDescent="0.2">
      <c r="B324" s="4" t="s">
        <v>200</v>
      </c>
      <c r="C324" s="4"/>
      <c r="D324" s="4"/>
      <c r="E324" s="4"/>
      <c r="F324" s="4"/>
      <c r="G324" s="4"/>
      <c r="H324" s="4"/>
      <c r="I324" s="4"/>
      <c r="J324" s="4"/>
      <c r="K324" s="253"/>
      <c r="L324" s="253"/>
      <c r="M324" s="253"/>
      <c r="N324" s="253"/>
      <c r="O324" s="253"/>
    </row>
    <row r="325" spans="2:18" ht="12.95" customHeight="1" x14ac:dyDescent="0.2">
      <c r="B325" s="226" t="s">
        <v>201</v>
      </c>
      <c r="C325" s="226"/>
      <c r="D325" s="226"/>
      <c r="E325" s="226"/>
      <c r="F325" s="226"/>
      <c r="G325" s="226"/>
      <c r="H325" s="226"/>
      <c r="I325" s="226"/>
      <c r="J325" s="226"/>
      <c r="K325" s="37"/>
      <c r="L325" s="37"/>
      <c r="M325" s="37"/>
      <c r="N325" s="37"/>
      <c r="O325" s="37"/>
    </row>
    <row r="326" spans="2:18" ht="12.95" customHeight="1" x14ac:dyDescent="0.2">
      <c r="B326" s="1" t="s">
        <v>202</v>
      </c>
      <c r="K326" s="16"/>
      <c r="L326" s="16"/>
      <c r="M326" s="16"/>
      <c r="N326" s="16"/>
      <c r="O326" s="16"/>
    </row>
    <row r="327" spans="2:18" ht="12.95" customHeight="1" x14ac:dyDescent="0.2">
      <c r="B327" s="4" t="s">
        <v>203</v>
      </c>
      <c r="C327" s="4"/>
      <c r="D327" s="4"/>
      <c r="E327" s="4"/>
      <c r="F327" s="4"/>
      <c r="G327" s="4"/>
      <c r="H327" s="4"/>
      <c r="I327" s="4"/>
      <c r="J327" s="4"/>
      <c r="K327" s="35"/>
      <c r="L327" s="35"/>
      <c r="M327" s="35"/>
      <c r="N327" s="35"/>
      <c r="O327" s="35"/>
    </row>
    <row r="328" spans="2:18" ht="12.95" customHeight="1" x14ac:dyDescent="0.2">
      <c r="B328" s="226" t="s">
        <v>204</v>
      </c>
      <c r="C328" s="226"/>
      <c r="D328" s="226"/>
      <c r="E328" s="226"/>
      <c r="F328" s="226"/>
      <c r="G328" s="226"/>
      <c r="H328" s="226"/>
      <c r="I328" s="226"/>
      <c r="J328" s="226"/>
      <c r="K328" s="37"/>
      <c r="L328" s="37"/>
      <c r="M328" s="37"/>
      <c r="N328" s="37"/>
      <c r="O328" s="37"/>
    </row>
    <row r="329" spans="2:18" ht="12.95" customHeight="1" x14ac:dyDescent="0.2">
      <c r="B329" s="3" t="s">
        <v>336</v>
      </c>
      <c r="C329" s="3"/>
      <c r="D329" s="3"/>
      <c r="E329" s="3"/>
      <c r="F329" s="3"/>
      <c r="G329" s="3"/>
      <c r="H329" s="3"/>
      <c r="I329" s="3"/>
      <c r="J329" s="3"/>
      <c r="K329" s="66"/>
      <c r="L329" s="66"/>
      <c r="M329" s="66"/>
      <c r="N329" s="66"/>
      <c r="O329" s="66"/>
    </row>
    <row r="330" spans="2:18" ht="12.95" customHeight="1" x14ac:dyDescent="0.2">
      <c r="B330" s="69" t="s">
        <v>207</v>
      </c>
      <c r="C330" s="69"/>
      <c r="D330" s="69"/>
      <c r="E330" s="69"/>
      <c r="F330" s="69"/>
      <c r="G330" s="69"/>
      <c r="H330" s="69"/>
      <c r="I330" s="69"/>
      <c r="J330" s="69"/>
      <c r="K330" s="71"/>
      <c r="L330" s="71"/>
      <c r="M330" s="71"/>
      <c r="N330" s="71"/>
      <c r="O330" s="71"/>
    </row>
    <row r="332" spans="2:18" ht="12.95" customHeight="1" x14ac:dyDescent="0.2">
      <c r="F332" s="1" t="s">
        <v>205</v>
      </c>
      <c r="J332" s="250"/>
      <c r="K332" s="15"/>
      <c r="L332" s="15"/>
      <c r="M332" s="15"/>
      <c r="N332" s="15"/>
      <c r="O332" s="15"/>
    </row>
    <row r="334" spans="2:18" ht="12.95" customHeight="1" x14ac:dyDescent="0.2">
      <c r="F334" s="1" t="s">
        <v>208</v>
      </c>
      <c r="K334" s="254"/>
      <c r="L334" s="254"/>
      <c r="M334" s="254"/>
      <c r="N334" s="254"/>
      <c r="O334" s="254"/>
    </row>
    <row r="335" spans="2:18" customFormat="1" ht="3" customHeight="1" x14ac:dyDescent="0.25">
      <c r="Q335" s="1"/>
      <c r="R335" s="1"/>
    </row>
    <row r="336" spans="2:18" ht="12.95" customHeight="1" x14ac:dyDescent="0.2">
      <c r="J336" s="26" t="s">
        <v>183</v>
      </c>
    </row>
    <row r="337" spans="6:15" ht="12.95" customHeight="1" x14ac:dyDescent="0.2">
      <c r="G337" s="29" t="s">
        <v>210</v>
      </c>
      <c r="H337" s="29" t="s">
        <v>209</v>
      </c>
      <c r="J337" s="26" t="s">
        <v>212</v>
      </c>
    </row>
    <row r="338" spans="6:15" ht="12.95" customHeight="1" x14ac:dyDescent="0.2">
      <c r="F338" s="252">
        <f t="array" ref="F338:F342">+TRANSPOSE(K322:O322)</f>
        <v>2020</v>
      </c>
      <c r="G338" s="258"/>
      <c r="H338" s="259"/>
      <c r="J338" s="255"/>
      <c r="K338" s="256"/>
      <c r="L338" s="256"/>
      <c r="M338" s="256"/>
      <c r="N338" s="256"/>
      <c r="O338" s="257"/>
    </row>
    <row r="339" spans="6:15" ht="12.95" customHeight="1" x14ac:dyDescent="0.2">
      <c r="F339" s="252">
        <v>2021</v>
      </c>
      <c r="G339" s="258"/>
      <c r="H339" s="259"/>
      <c r="J339" s="104"/>
      <c r="K339" s="16"/>
      <c r="L339" s="16"/>
      <c r="M339" s="16"/>
      <c r="N339" s="16"/>
      <c r="O339" s="236"/>
    </row>
    <row r="340" spans="6:15" ht="12.95" customHeight="1" x14ac:dyDescent="0.2">
      <c r="F340" s="252">
        <v>2022</v>
      </c>
      <c r="G340" s="258"/>
      <c r="H340" s="259"/>
      <c r="J340" s="104"/>
      <c r="K340" s="16"/>
      <c r="L340" s="16"/>
      <c r="M340" s="16"/>
      <c r="N340" s="16"/>
      <c r="O340" s="236"/>
    </row>
    <row r="341" spans="6:15" ht="12.95" customHeight="1" x14ac:dyDescent="0.2">
      <c r="F341" s="252">
        <v>2023</v>
      </c>
      <c r="G341" s="258"/>
      <c r="H341" s="259"/>
      <c r="J341" s="104"/>
      <c r="K341" s="16"/>
      <c r="L341" s="16"/>
      <c r="M341" s="16"/>
      <c r="N341" s="16"/>
      <c r="O341" s="236"/>
    </row>
    <row r="342" spans="6:15" ht="12.95" customHeight="1" x14ac:dyDescent="0.2">
      <c r="F342" s="252">
        <v>2024</v>
      </c>
      <c r="G342" s="258"/>
      <c r="H342" s="259"/>
      <c r="J342" s="105"/>
      <c r="K342" s="66"/>
      <c r="L342" s="66"/>
      <c r="M342" s="66"/>
      <c r="N342" s="66"/>
      <c r="O342" s="237"/>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42</vt:i4>
      </vt:variant>
    </vt:vector>
  </HeadingPairs>
  <TitlesOfParts>
    <vt:vector size="63" baseType="lpstr">
      <vt:lpstr>1 - Tx Assumptions and S&amp;U</vt:lpstr>
      <vt:lpstr>2 - Def Fin Fees</vt:lpstr>
      <vt:lpstr>3 - Income Statement</vt:lpstr>
      <vt:lpstr>4 - PF BS</vt:lpstr>
      <vt:lpstr>5 - BS Rollforward</vt:lpstr>
      <vt:lpstr>6 - CFS Setup</vt:lpstr>
      <vt:lpstr>7 - Debt Waterfall Setup</vt:lpstr>
      <vt:lpstr>8 - Debt Table - RCF</vt:lpstr>
      <vt:lpstr>9 - Debt Table - 1L TL</vt:lpstr>
      <vt:lpstr>10 - Debt Table - 2L TL</vt:lpstr>
      <vt:lpstr>11 - Debt Table - Notes</vt:lpstr>
      <vt:lpstr>12 - Finalize CFS</vt:lpstr>
      <vt:lpstr>13 - Int Exp &amp; Inc Summary</vt:lpstr>
      <vt:lpstr>14 - Exit &amp; Returns</vt:lpstr>
      <vt:lpstr>15 - Summary Page</vt:lpstr>
      <vt:lpstr>16 - Checks</vt:lpstr>
      <vt:lpstr>17 - Completed Model</vt:lpstr>
      <vt:lpstr>18 - Model w Cash+Debt - EMPTY</vt:lpstr>
      <vt:lpstr>18 - Model w Cash+Debt - DONE</vt:lpstr>
      <vt:lpstr>19 - Model Public - EMPTY</vt:lpstr>
      <vt:lpstr>19 - Model Public - DONE</vt:lpstr>
      <vt:lpstr>'1 - Tx Assumptions and S&amp;U'!Print_Area</vt:lpstr>
      <vt:lpstr>'10 - Debt Table - 2L TL'!Print_Area</vt:lpstr>
      <vt:lpstr>'11 - Debt Table - Notes'!Print_Area</vt:lpstr>
      <vt:lpstr>'12 - Finalize CFS'!Print_Area</vt:lpstr>
      <vt:lpstr>'13 - Int Exp &amp; Inc Summary'!Print_Area</vt:lpstr>
      <vt:lpstr>'14 - Exit &amp; Returns'!Print_Area</vt:lpstr>
      <vt:lpstr>'15 - Summary Page'!Print_Area</vt:lpstr>
      <vt:lpstr>'16 - Checks'!Print_Area</vt:lpstr>
      <vt:lpstr>'17 - Completed Model'!Print_Area</vt:lpstr>
      <vt:lpstr>'18 - Model w Cash+Debt - DONE'!Print_Area</vt:lpstr>
      <vt:lpstr>'18 - Model w Cash+Debt - EMPTY'!Print_Area</vt:lpstr>
      <vt:lpstr>'19 - Model Public - DONE'!Print_Area</vt:lpstr>
      <vt:lpstr>'19 - Model Public - EMPTY'!Print_Area</vt:lpstr>
      <vt:lpstr>'2 - Def Fin Fees'!Print_Area</vt:lpstr>
      <vt:lpstr>'3 - Income Statement'!Print_Area</vt:lpstr>
      <vt:lpstr>'4 - PF BS'!Print_Area</vt:lpstr>
      <vt:lpstr>'5 - BS Rollforward'!Print_Area</vt:lpstr>
      <vt:lpstr>'6 - CFS Setup'!Print_Area</vt:lpstr>
      <vt:lpstr>'7 - Debt Waterfall Setup'!Print_Area</vt:lpstr>
      <vt:lpstr>'8 - Debt Table - RCF'!Print_Area</vt:lpstr>
      <vt:lpstr>'9 - Debt Table - 1L TL'!Print_Area</vt:lpstr>
      <vt:lpstr>'1 - Tx Assumptions and S&amp;U'!Print_Titles</vt:lpstr>
      <vt:lpstr>'10 - Debt Table - 2L TL'!Print_Titles</vt:lpstr>
      <vt:lpstr>'11 - Debt Table - Notes'!Print_Titles</vt:lpstr>
      <vt:lpstr>'12 - Finalize CFS'!Print_Titles</vt:lpstr>
      <vt:lpstr>'13 - Int Exp &amp; Inc Summary'!Print_Titles</vt:lpstr>
      <vt:lpstr>'14 - Exit &amp; Returns'!Print_Titles</vt:lpstr>
      <vt:lpstr>'15 - Summary Page'!Print_Titles</vt:lpstr>
      <vt:lpstr>'16 - Checks'!Print_Titles</vt:lpstr>
      <vt:lpstr>'17 - Completed Model'!Print_Titles</vt:lpstr>
      <vt:lpstr>'18 - Model w Cash+Debt - DONE'!Print_Titles</vt:lpstr>
      <vt:lpstr>'18 - Model w Cash+Debt - EMPTY'!Print_Titles</vt:lpstr>
      <vt:lpstr>'19 - Model Public - DONE'!Print_Titles</vt:lpstr>
      <vt:lpstr>'19 - Model Public - EMPTY'!Print_Titles</vt:lpstr>
      <vt:lpstr>'2 - Def Fin Fees'!Print_Titles</vt:lpstr>
      <vt:lpstr>'3 - Income Statement'!Print_Titles</vt:lpstr>
      <vt:lpstr>'4 - PF BS'!Print_Titles</vt:lpstr>
      <vt:lpstr>'5 - BS Rollforward'!Print_Titles</vt:lpstr>
      <vt:lpstr>'6 - CFS Setup'!Print_Titles</vt:lpstr>
      <vt:lpstr>'7 - Debt Waterfall Setup'!Print_Titles</vt:lpstr>
      <vt:lpstr>'8 - Debt Table - RCF'!Print_Titles</vt:lpstr>
      <vt:lpstr>'9 - Debt Table - 1L TL'!Print_Titles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Kimpel</dc:creator>
  <cp:lastModifiedBy>Michael Kimpel</cp:lastModifiedBy>
  <cp:lastPrinted>2020-12-18T02:07:31Z</cp:lastPrinted>
  <dcterms:created xsi:type="dcterms:W3CDTF">2020-12-15T13:54:59Z</dcterms:created>
  <dcterms:modified xsi:type="dcterms:W3CDTF">2020-12-18T02:07:41Z</dcterms:modified>
</cp:coreProperties>
</file>